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ty\Downloads\"/>
    </mc:Choice>
  </mc:AlternateContent>
  <xr:revisionPtr revIDLastSave="0" documentId="8_{19581971-AC8C-4DCB-8022-BBD28F835E89}" xr6:coauthVersionLast="47" xr6:coauthVersionMax="47" xr10:uidLastSave="{00000000-0000-0000-0000-000000000000}"/>
  <bookViews>
    <workbookView xWindow="-120" yWindow="-120" windowWidth="29040" windowHeight="17640" tabRatio="921" xr2:uid="{00000000-000D-0000-FFFF-FFFF00000000}"/>
  </bookViews>
  <sheets>
    <sheet name="Database" sheetId="1" r:id="rId1"/>
    <sheet name="GWPF" sheetId="14" r:id="rId2"/>
    <sheet name="CFs" sheetId="20" r:id="rId3"/>
    <sheet name="Financials" sheetId="3" r:id="rId4"/>
  </sheets>
  <definedNames>
    <definedName name="_AtRisk_SimSetting_AutomaticallyGenerateReports" hidden="1">FALSE</definedName>
    <definedName name="_AtRisk_SimSetting_AutomaticResultsDisplayMode" hidden="1">2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FALSE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FALSE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2" hidden="1">CFs!$A$1:$G$4</definedName>
    <definedName name="_xlnm._FilterDatabase" localSheetId="0" hidden="1">Database!$A$5:$BC$6</definedName>
    <definedName name="_xlnm._FilterDatabase" localSheetId="3" hidden="1">Financials!$A$1:$M$4</definedName>
    <definedName name="a" localSheetId="1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a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aadsds" localSheetId="1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aadsds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AcsSum">#REF!</definedName>
    <definedName name="Actualcapex">GWPF!$L$109:$M$147</definedName>
    <definedName name="Aldersey">#REF!</definedName>
    <definedName name="CFData">#REF!</definedName>
    <definedName name="CFFirstLast">CFs!#REF!</definedName>
    <definedName name="Data">#REF!</definedName>
    <definedName name="_xlnm.Database">Database!$A$6:$AY$6</definedName>
    <definedName name="Dataheads">Database!$A$5:$BC$5</definedName>
    <definedName name="INPUT_BOX" localSheetId="1">#REF!</definedName>
    <definedName name="INPUT_BOX">#REF!</definedName>
    <definedName name="LOCAL_MYSQL_DATE_FORMAT" localSheetId="1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MATAR" localSheetId="1">#REF!</definedName>
    <definedName name="MATAR">#REF!</definedName>
    <definedName name="METAR" localSheetId="1">#REF!</definedName>
    <definedName name="METAR">#REF!</definedName>
    <definedName name="RiskAfterRecalcMacro" hidden="1">"BetweenIterationsMacro"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1</definedName>
    <definedName name="RiskFixedSeed" hidden="1">2009000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</definedName>
    <definedName name="RiskNumSimulations" hidden="1">1</definedName>
    <definedName name="RiskPauseOnError" hidden="1">FALSE</definedName>
    <definedName name="RiskRunAfterRecalcMacro" hidden="1">TRUE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TRUE</definedName>
    <definedName name="RiskUseMultipleCPUs" hidden="1">FALSE</definedName>
    <definedName name="s" localSheetId="1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s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sa" localSheetId="1">#REF!</definedName>
    <definedName name="sa">#REF!</definedName>
    <definedName name="sdert" localSheetId="1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sder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solver_adj" localSheetId="1" hidden="1">GWPF!$H$16</definedName>
    <definedName name="solver_cvg" localSheetId="1" hidden="1">0.0001</definedName>
    <definedName name="solver_drv" localSheetId="1" hidden="1">1</definedName>
    <definedName name="solver_eng" localSheetId="1" hidden="1">2</definedName>
    <definedName name="solver_est" localSheetId="1" hidden="1">1</definedName>
    <definedName name="solver_itr" localSheetId="1" hidden="1">2147483647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0</definedName>
    <definedName name="solver_nwt" localSheetId="1" hidden="1">1</definedName>
    <definedName name="solver_opt" localSheetId="1" hidden="1">GWPF!$L$9</definedName>
    <definedName name="solver_pre" localSheetId="1" hidden="1">0.000001</definedName>
    <definedName name="solver_rbv" localSheetId="1" hidden="1">1</definedName>
    <definedName name="solver_rlx" localSheetId="1" hidden="1">2</definedName>
    <definedName name="solver_rsd" localSheetId="1" hidden="1">0</definedName>
    <definedName name="solver_scl" localSheetId="1" hidden="1">1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2</definedName>
    <definedName name="solver_val" localSheetId="1" hidden="1">0</definedName>
    <definedName name="solver_ver" localSheetId="1" hidden="1">3</definedName>
    <definedName name="t25Q2" localSheetId="1">#REF!</definedName>
    <definedName name="t25Q2">#REF!</definedName>
    <definedName name="table_25_Q2" localSheetId="1">#REF!</definedName>
    <definedName name="table_25_Q2">#REF!</definedName>
    <definedName name="Wacc">GWPF!$AB$4:$AC$31</definedName>
  </definedName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36" i="14" l="1"/>
  <c r="Q36" i="14"/>
  <c r="S36" i="14"/>
  <c r="AE36" i="14"/>
  <c r="AE37" i="14"/>
  <c r="AD37" i="14"/>
  <c r="O37" i="14"/>
  <c r="A1" i="14"/>
  <c r="P36" i="14"/>
  <c r="AD36" i="14"/>
  <c r="H4" i="14" a="1"/>
  <c r="H4" i="14"/>
  <c r="AE38" i="14"/>
  <c r="AD38" i="14"/>
  <c r="O38" i="14"/>
  <c r="AE39" i="14"/>
  <c r="AD39" i="14"/>
  <c r="O39" i="14"/>
  <c r="AE40" i="14"/>
  <c r="AD40" i="14"/>
  <c r="O40" i="14"/>
  <c r="AE41" i="14"/>
  <c r="AD41" i="14"/>
  <c r="O41" i="14"/>
  <c r="AE42" i="14"/>
  <c r="AD42" i="14"/>
  <c r="O42" i="14"/>
  <c r="AE43" i="14"/>
  <c r="AD43" i="14"/>
  <c r="O43" i="14"/>
  <c r="AE44" i="14"/>
  <c r="AD44" i="14"/>
  <c r="O44" i="14"/>
  <c r="AE45" i="14"/>
  <c r="AD45" i="14"/>
  <c r="O45" i="14"/>
  <c r="AE46" i="14"/>
  <c r="AD46" i="14"/>
  <c r="O46" i="14"/>
  <c r="AE47" i="14"/>
  <c r="AD47" i="14"/>
  <c r="O47" i="14"/>
  <c r="AE48" i="14"/>
  <c r="AD48" i="14"/>
  <c r="O48" i="14"/>
  <c r="AE49" i="14"/>
  <c r="AD49" i="14"/>
  <c r="O49" i="14"/>
  <c r="AE50" i="14"/>
  <c r="AD50" i="14"/>
  <c r="O50" i="14"/>
  <c r="AE51" i="14"/>
  <c r="AD51" i="14"/>
  <c r="O51" i="14"/>
  <c r="AE52" i="14"/>
  <c r="AD52" i="14"/>
  <c r="O52" i="14"/>
  <c r="AE53" i="14"/>
  <c r="AD53" i="14"/>
  <c r="O53" i="14"/>
  <c r="AE54" i="14"/>
  <c r="AD54" i="14"/>
  <c r="O54" i="14"/>
  <c r="AE55" i="14"/>
  <c r="AD55" i="14"/>
  <c r="O55" i="14"/>
  <c r="AE56" i="14"/>
  <c r="AD56" i="14"/>
  <c r="O56" i="14"/>
  <c r="AE57" i="14"/>
  <c r="AD57" i="14"/>
  <c r="O57" i="14"/>
  <c r="AE58" i="14"/>
  <c r="AD58" i="14"/>
  <c r="O58" i="14"/>
  <c r="AE59" i="14"/>
  <c r="AD59" i="14"/>
  <c r="O59" i="14"/>
  <c r="AE60" i="14"/>
  <c r="AD60" i="14"/>
  <c r="O60" i="14"/>
  <c r="AE61" i="14"/>
  <c r="AD61" i="14"/>
  <c r="O61" i="14"/>
  <c r="AE62" i="14"/>
  <c r="AD62" i="14"/>
  <c r="O62" i="14"/>
  <c r="AE63" i="14"/>
  <c r="AD63" i="14"/>
  <c r="O63" i="14"/>
  <c r="AE64" i="14"/>
  <c r="AD64" i="14"/>
  <c r="O64" i="14"/>
  <c r="P4" i="14" a="1"/>
  <c r="P4" i="14"/>
  <c r="P6" i="14" a="1"/>
  <c r="P6" i="14"/>
  <c r="Q6" i="14"/>
  <c r="Q9" i="14"/>
  <c r="AC36" i="14"/>
  <c r="AC37" i="14"/>
  <c r="AC38" i="14"/>
  <c r="AC39" i="14"/>
  <c r="AC40" i="14"/>
  <c r="AC41" i="14"/>
  <c r="AC42" i="14"/>
  <c r="AC43" i="14"/>
  <c r="AC44" i="14"/>
  <c r="AC45" i="14"/>
  <c r="AC46" i="14"/>
  <c r="AC47" i="14"/>
  <c r="AC48" i="14"/>
  <c r="AC49" i="14"/>
  <c r="AC50" i="14"/>
  <c r="AC51" i="14"/>
  <c r="AC52" i="14"/>
  <c r="AC53" i="14"/>
  <c r="AC54" i="14"/>
  <c r="AC55" i="14"/>
  <c r="AC56" i="14"/>
  <c r="AC57" i="14"/>
  <c r="AC58" i="14"/>
  <c r="AC59" i="14"/>
  <c r="AC60" i="14"/>
  <c r="AC61" i="14"/>
  <c r="AC62" i="14"/>
  <c r="AC63" i="14"/>
  <c r="AC64" i="14"/>
  <c r="H2" i="3"/>
  <c r="J2" i="3"/>
  <c r="K2" i="3"/>
  <c r="L2" i="3"/>
  <c r="AW3" i="1" a="1"/>
  <c r="AW3" i="1"/>
  <c r="H16" i="14"/>
  <c r="H6" i="14"/>
  <c r="U36" i="14"/>
  <c r="V36" i="14"/>
  <c r="W36" i="14"/>
  <c r="X36" i="14"/>
  <c r="D36" i="14"/>
  <c r="R36" i="14"/>
  <c r="H3" i="3"/>
  <c r="J3" i="3"/>
  <c r="K3" i="3"/>
  <c r="L3" i="3"/>
  <c r="A37" i="14"/>
  <c r="P37" i="14"/>
  <c r="Q37" i="14"/>
  <c r="E3" i="20"/>
  <c r="U37" i="14"/>
  <c r="V37" i="14"/>
  <c r="W37" i="14"/>
  <c r="X37" i="14"/>
  <c r="D37" i="14"/>
  <c r="R37" i="14"/>
  <c r="H4" i="3"/>
  <c r="J4" i="3"/>
  <c r="K4" i="3"/>
  <c r="L4" i="3"/>
  <c r="A38" i="14"/>
  <c r="P38" i="14"/>
  <c r="Q38" i="14"/>
  <c r="E4" i="20"/>
  <c r="U38" i="14"/>
  <c r="V38" i="14"/>
  <c r="W38" i="14"/>
  <c r="X38" i="14"/>
  <c r="D38" i="14"/>
  <c r="R38" i="14"/>
  <c r="A39" i="14"/>
  <c r="P39" i="14"/>
  <c r="Q39" i="14"/>
  <c r="U39" i="14"/>
  <c r="V39" i="14"/>
  <c r="W39" i="14"/>
  <c r="X39" i="14"/>
  <c r="D39" i="14"/>
  <c r="R39" i="14"/>
  <c r="A40" i="14"/>
  <c r="P40" i="14"/>
  <c r="Q40" i="14"/>
  <c r="U40" i="14"/>
  <c r="V40" i="14"/>
  <c r="W40" i="14"/>
  <c r="X40" i="14"/>
  <c r="D40" i="14"/>
  <c r="R40" i="14"/>
  <c r="A41" i="14"/>
  <c r="P41" i="14"/>
  <c r="Q41" i="14"/>
  <c r="U41" i="14"/>
  <c r="V41" i="14"/>
  <c r="W41" i="14"/>
  <c r="X41" i="14"/>
  <c r="D41" i="14"/>
  <c r="R41" i="14"/>
  <c r="A42" i="14"/>
  <c r="P42" i="14"/>
  <c r="Q42" i="14"/>
  <c r="U42" i="14"/>
  <c r="V42" i="14"/>
  <c r="W42" i="14"/>
  <c r="X42" i="14"/>
  <c r="D42" i="14"/>
  <c r="R42" i="14"/>
  <c r="A43" i="14"/>
  <c r="P43" i="14"/>
  <c r="Q43" i="14"/>
  <c r="U43" i="14"/>
  <c r="V43" i="14"/>
  <c r="W43" i="14"/>
  <c r="X43" i="14"/>
  <c r="D43" i="14"/>
  <c r="R43" i="14"/>
  <c r="A44" i="14"/>
  <c r="P44" i="14"/>
  <c r="Q44" i="14"/>
  <c r="U44" i="14"/>
  <c r="V44" i="14"/>
  <c r="W44" i="14"/>
  <c r="X44" i="14"/>
  <c r="D44" i="14"/>
  <c r="R44" i="14"/>
  <c r="A45" i="14"/>
  <c r="P45" i="14"/>
  <c r="Q45" i="14"/>
  <c r="U45" i="14"/>
  <c r="V45" i="14"/>
  <c r="W45" i="14"/>
  <c r="X45" i="14"/>
  <c r="D45" i="14"/>
  <c r="R45" i="14"/>
  <c r="A46" i="14"/>
  <c r="P46" i="14"/>
  <c r="Q46" i="14"/>
  <c r="U46" i="14"/>
  <c r="V46" i="14"/>
  <c r="W46" i="14"/>
  <c r="X46" i="14"/>
  <c r="D46" i="14"/>
  <c r="R46" i="14"/>
  <c r="A47" i="14"/>
  <c r="P47" i="14"/>
  <c r="Q47" i="14"/>
  <c r="U47" i="14"/>
  <c r="V47" i="14"/>
  <c r="W47" i="14"/>
  <c r="X47" i="14"/>
  <c r="D47" i="14"/>
  <c r="R47" i="14"/>
  <c r="A48" i="14"/>
  <c r="P48" i="14"/>
  <c r="Q48" i="14"/>
  <c r="U48" i="14"/>
  <c r="V48" i="14"/>
  <c r="W48" i="14"/>
  <c r="X48" i="14"/>
  <c r="D48" i="14"/>
  <c r="R48" i="14"/>
  <c r="A49" i="14"/>
  <c r="P49" i="14"/>
  <c r="Q49" i="14"/>
  <c r="U49" i="14"/>
  <c r="V49" i="14"/>
  <c r="W49" i="14"/>
  <c r="X49" i="14"/>
  <c r="D49" i="14"/>
  <c r="R49" i="14"/>
  <c r="A50" i="14"/>
  <c r="P50" i="14"/>
  <c r="Q50" i="14"/>
  <c r="U50" i="14"/>
  <c r="V50" i="14"/>
  <c r="W50" i="14"/>
  <c r="X50" i="14"/>
  <c r="D50" i="14"/>
  <c r="R50" i="14"/>
  <c r="A51" i="14"/>
  <c r="P51" i="14"/>
  <c r="Q51" i="14"/>
  <c r="U51" i="14"/>
  <c r="V51" i="14"/>
  <c r="W51" i="14"/>
  <c r="X51" i="14"/>
  <c r="D51" i="14"/>
  <c r="R51" i="14"/>
  <c r="A52" i="14"/>
  <c r="P52" i="14"/>
  <c r="Q52" i="14"/>
  <c r="U52" i="14"/>
  <c r="V52" i="14"/>
  <c r="W52" i="14"/>
  <c r="X52" i="14"/>
  <c r="D52" i="14"/>
  <c r="R52" i="14"/>
  <c r="A53" i="14"/>
  <c r="P53" i="14"/>
  <c r="Q53" i="14"/>
  <c r="U53" i="14"/>
  <c r="V53" i="14"/>
  <c r="W53" i="14"/>
  <c r="X53" i="14"/>
  <c r="D53" i="14"/>
  <c r="R53" i="14"/>
  <c r="A54" i="14"/>
  <c r="P54" i="14"/>
  <c r="Q54" i="14"/>
  <c r="U54" i="14"/>
  <c r="V54" i="14"/>
  <c r="W54" i="14"/>
  <c r="X54" i="14"/>
  <c r="D54" i="14"/>
  <c r="R54" i="14"/>
  <c r="A55" i="14"/>
  <c r="P55" i="14"/>
  <c r="Q55" i="14"/>
  <c r="U55" i="14"/>
  <c r="V55" i="14"/>
  <c r="W55" i="14"/>
  <c r="X55" i="14"/>
  <c r="D55" i="14"/>
  <c r="R55" i="14"/>
  <c r="A56" i="14"/>
  <c r="P56" i="14"/>
  <c r="Q56" i="14"/>
  <c r="D56" i="14"/>
  <c r="R56" i="14"/>
  <c r="A57" i="14"/>
  <c r="P57" i="14"/>
  <c r="Q57" i="14"/>
  <c r="D57" i="14"/>
  <c r="R57" i="14"/>
  <c r="A58" i="14"/>
  <c r="P58" i="14"/>
  <c r="Q58" i="14"/>
  <c r="D58" i="14"/>
  <c r="R58" i="14"/>
  <c r="A59" i="14"/>
  <c r="P59" i="14"/>
  <c r="Q59" i="14"/>
  <c r="D59" i="14"/>
  <c r="R59" i="14"/>
  <c r="A60" i="14"/>
  <c r="P60" i="14"/>
  <c r="Q60" i="14"/>
  <c r="D60" i="14"/>
  <c r="R60" i="14"/>
  <c r="A61" i="14"/>
  <c r="P61" i="14"/>
  <c r="Q61" i="14"/>
  <c r="D61" i="14"/>
  <c r="R61" i="14"/>
  <c r="A62" i="14"/>
  <c r="P62" i="14"/>
  <c r="Q62" i="14"/>
  <c r="D62" i="14"/>
  <c r="R62" i="14"/>
  <c r="A63" i="14"/>
  <c r="P63" i="14"/>
  <c r="Q63" i="14"/>
  <c r="D63" i="14"/>
  <c r="R63" i="14"/>
  <c r="A64" i="14"/>
  <c r="P64" i="14"/>
  <c r="Q64" i="14"/>
  <c r="D64" i="14"/>
  <c r="R64" i="14"/>
  <c r="S56" i="14"/>
  <c r="T36" i="14"/>
  <c r="T37" i="14"/>
  <c r="T38" i="14"/>
  <c r="T39" i="14"/>
  <c r="T40" i="14"/>
  <c r="T41" i="14"/>
  <c r="T42" i="14"/>
  <c r="T43" i="14"/>
  <c r="T44" i="14"/>
  <c r="T45" i="14"/>
  <c r="T46" i="14"/>
  <c r="T47" i="14"/>
  <c r="T48" i="14"/>
  <c r="T49" i="14"/>
  <c r="T50" i="14"/>
  <c r="T51" i="14"/>
  <c r="T52" i="14"/>
  <c r="T53" i="14"/>
  <c r="T54" i="14"/>
  <c r="T55" i="14"/>
  <c r="T56" i="14"/>
  <c r="U56" i="14"/>
  <c r="V56" i="14"/>
  <c r="W56" i="14"/>
  <c r="X56" i="14"/>
  <c r="S57" i="14"/>
  <c r="T57" i="14"/>
  <c r="U57" i="14"/>
  <c r="V57" i="14"/>
  <c r="W57" i="14"/>
  <c r="X57" i="14"/>
  <c r="S58" i="14"/>
  <c r="T58" i="14"/>
  <c r="U58" i="14"/>
  <c r="V58" i="14"/>
  <c r="W58" i="14"/>
  <c r="X58" i="14"/>
  <c r="S59" i="14"/>
  <c r="T59" i="14"/>
  <c r="U59" i="14"/>
  <c r="V59" i="14"/>
  <c r="W59" i="14"/>
  <c r="X59" i="14"/>
  <c r="S60" i="14"/>
  <c r="T60" i="14"/>
  <c r="U60" i="14"/>
  <c r="V60" i="14"/>
  <c r="W60" i="14"/>
  <c r="X60" i="14"/>
  <c r="S61" i="14"/>
  <c r="T61" i="14"/>
  <c r="U61" i="14"/>
  <c r="V61" i="14"/>
  <c r="W61" i="14"/>
  <c r="X61" i="14"/>
  <c r="S62" i="14"/>
  <c r="T62" i="14"/>
  <c r="U62" i="14"/>
  <c r="V62" i="14"/>
  <c r="W62" i="14"/>
  <c r="X62" i="14"/>
  <c r="S63" i="14"/>
  <c r="T63" i="14"/>
  <c r="U63" i="14"/>
  <c r="V63" i="14"/>
  <c r="W63" i="14"/>
  <c r="X63" i="14"/>
  <c r="S64" i="14"/>
  <c r="T64" i="14"/>
  <c r="U64" i="14"/>
  <c r="V64" i="14"/>
  <c r="W64" i="14"/>
  <c r="X64" i="14"/>
  <c r="AC15" i="14"/>
  <c r="AC16" i="14"/>
  <c r="AC17" i="14"/>
  <c r="AC18" i="14"/>
  <c r="AC19" i="14"/>
  <c r="AC20" i="14"/>
  <c r="AC21" i="14"/>
  <c r="H13" i="14"/>
  <c r="B56" i="14"/>
  <c r="E56" i="14"/>
  <c r="G56" i="14"/>
  <c r="J56" i="14"/>
  <c r="K56" i="14"/>
  <c r="B57" i="14"/>
  <c r="E57" i="14"/>
  <c r="G57" i="14"/>
  <c r="J57" i="14"/>
  <c r="K57" i="14"/>
  <c r="B58" i="14"/>
  <c r="E58" i="14"/>
  <c r="G58" i="14"/>
  <c r="J58" i="14"/>
  <c r="K58" i="14"/>
  <c r="B59" i="14"/>
  <c r="E59" i="14"/>
  <c r="G59" i="14"/>
  <c r="J59" i="14"/>
  <c r="K59" i="14"/>
  <c r="B60" i="14"/>
  <c r="E60" i="14"/>
  <c r="G60" i="14"/>
  <c r="J60" i="14"/>
  <c r="K60" i="14"/>
  <c r="B61" i="14"/>
  <c r="E61" i="14"/>
  <c r="G61" i="14"/>
  <c r="J61" i="14"/>
  <c r="K61" i="14"/>
  <c r="B62" i="14"/>
  <c r="E62" i="14"/>
  <c r="G62" i="14"/>
  <c r="J62" i="14"/>
  <c r="K62" i="14"/>
  <c r="B63" i="14"/>
  <c r="E63" i="14"/>
  <c r="G63" i="14"/>
  <c r="J63" i="14"/>
  <c r="K63" i="14"/>
  <c r="B64" i="14"/>
  <c r="E64" i="14"/>
  <c r="G64" i="14"/>
  <c r="J64" i="14"/>
  <c r="K64" i="14"/>
  <c r="V6" i="1"/>
  <c r="W6" i="1"/>
  <c r="X6" i="1"/>
  <c r="M4" i="3"/>
  <c r="I4" i="3"/>
  <c r="H7" i="14" a="1"/>
  <c r="H7" i="14"/>
  <c r="AC22" i="14"/>
  <c r="AC23" i="14"/>
  <c r="AC24" i="14"/>
  <c r="AC25" i="14"/>
  <c r="AC26" i="14"/>
  <c r="AC27" i="14"/>
  <c r="AC28" i="14"/>
  <c r="AC29" i="14"/>
  <c r="AC30" i="14"/>
  <c r="U4" i="14" a="1"/>
  <c r="U4" i="14"/>
  <c r="U8" i="14" a="1"/>
  <c r="U8" i="14"/>
  <c r="U7" i="14" a="1"/>
  <c r="U7" i="14"/>
  <c r="U6" i="14" a="1"/>
  <c r="U6" i="14"/>
  <c r="U5" i="14" a="1"/>
  <c r="U5" i="14"/>
  <c r="AZ1" i="1"/>
  <c r="AG6" i="1"/>
  <c r="AF6" i="1"/>
  <c r="P6" i="1"/>
  <c r="L6" i="1"/>
  <c r="S55" i="14"/>
  <c r="S54" i="14"/>
  <c r="S53" i="14"/>
  <c r="S52" i="14"/>
  <c r="S51" i="14"/>
  <c r="S50" i="14"/>
  <c r="S49" i="14"/>
  <c r="S48" i="14"/>
  <c r="S47" i="14"/>
  <c r="S46" i="14"/>
  <c r="S45" i="14"/>
  <c r="S44" i="14"/>
  <c r="S43" i="14"/>
  <c r="S42" i="14"/>
  <c r="S41" i="14"/>
  <c r="S40" i="14"/>
  <c r="S39" i="14"/>
  <c r="S38" i="14"/>
  <c r="S37" i="14"/>
  <c r="O6" i="1"/>
  <c r="AI6" i="1"/>
  <c r="AJ6" i="1"/>
  <c r="M3" i="3"/>
  <c r="M2" i="3"/>
  <c r="M36" i="14"/>
  <c r="M47" i="14"/>
  <c r="M45" i="14"/>
  <c r="M44" i="14"/>
  <c r="M48" i="14"/>
  <c r="M46" i="14"/>
  <c r="M61" i="14"/>
  <c r="M59" i="14"/>
  <c r="M58" i="14"/>
  <c r="M51" i="14"/>
  <c r="M49" i="14"/>
  <c r="Y4" i="14" a="1"/>
  <c r="Y4" i="14"/>
  <c r="S6" i="1"/>
  <c r="Y5" i="14" a="1"/>
  <c r="Y5" i="14"/>
  <c r="Y6" i="14"/>
  <c r="H8" i="14"/>
  <c r="F26" i="14"/>
  <c r="J26" i="14"/>
  <c r="B26" i="14"/>
  <c r="K26" i="14"/>
  <c r="F27" i="14"/>
  <c r="J27" i="14"/>
  <c r="B27" i="14"/>
  <c r="K27" i="14"/>
  <c r="F28" i="14"/>
  <c r="J28" i="14"/>
  <c r="B28" i="14"/>
  <c r="K28" i="14"/>
  <c r="F29" i="14"/>
  <c r="J29" i="14"/>
  <c r="B29" i="14"/>
  <c r="K29" i="14"/>
  <c r="F30" i="14"/>
  <c r="J30" i="14"/>
  <c r="B30" i="14"/>
  <c r="K30" i="14"/>
  <c r="F31" i="14"/>
  <c r="J31" i="14"/>
  <c r="B31" i="14"/>
  <c r="K31" i="14"/>
  <c r="F32" i="14"/>
  <c r="J32" i="14"/>
  <c r="B32" i="14"/>
  <c r="K32" i="14"/>
  <c r="F33" i="14"/>
  <c r="J33" i="14"/>
  <c r="B33" i="14"/>
  <c r="K33" i="14"/>
  <c r="F34" i="14"/>
  <c r="J34" i="14"/>
  <c r="B34" i="14"/>
  <c r="K34" i="14"/>
  <c r="F35" i="14"/>
  <c r="J35" i="14"/>
  <c r="B35" i="14"/>
  <c r="K35" i="14"/>
  <c r="B36" i="14"/>
  <c r="E36" i="14"/>
  <c r="B37" i="14"/>
  <c r="E37" i="14"/>
  <c r="B38" i="14"/>
  <c r="E38" i="14"/>
  <c r="B39" i="14"/>
  <c r="E39" i="14"/>
  <c r="B40" i="14"/>
  <c r="E40" i="14"/>
  <c r="B41" i="14"/>
  <c r="E41" i="14"/>
  <c r="B42" i="14"/>
  <c r="E42" i="14"/>
  <c r="B43" i="14"/>
  <c r="E43" i="14"/>
  <c r="B44" i="14"/>
  <c r="E44" i="14"/>
  <c r="B45" i="14"/>
  <c r="E45" i="14"/>
  <c r="B46" i="14"/>
  <c r="E46" i="14"/>
  <c r="B47" i="14"/>
  <c r="E47" i="14"/>
  <c r="B48" i="14"/>
  <c r="E48" i="14"/>
  <c r="B49" i="14"/>
  <c r="E49" i="14"/>
  <c r="B50" i="14"/>
  <c r="E50" i="14"/>
  <c r="B51" i="14"/>
  <c r="E51" i="14"/>
  <c r="B52" i="14"/>
  <c r="E52" i="14"/>
  <c r="B53" i="14"/>
  <c r="E53" i="14"/>
  <c r="B54" i="14"/>
  <c r="E54" i="14"/>
  <c r="B55" i="14"/>
  <c r="E55" i="14"/>
  <c r="E66" i="14"/>
  <c r="L6" i="14"/>
  <c r="G36" i="14"/>
  <c r="K36" i="14"/>
  <c r="G37" i="14"/>
  <c r="K37" i="14"/>
  <c r="G38" i="14"/>
  <c r="K38" i="14"/>
  <c r="G39" i="14"/>
  <c r="K39" i="14"/>
  <c r="G40" i="14"/>
  <c r="K40" i="14"/>
  <c r="G41" i="14"/>
  <c r="K41" i="14"/>
  <c r="G42" i="14"/>
  <c r="K42" i="14"/>
  <c r="G43" i="14"/>
  <c r="K43" i="14"/>
  <c r="G44" i="14"/>
  <c r="K44" i="14"/>
  <c r="G45" i="14"/>
  <c r="K45" i="14"/>
  <c r="G46" i="14"/>
  <c r="K46" i="14"/>
  <c r="G47" i="14"/>
  <c r="K47" i="14"/>
  <c r="G48" i="14"/>
  <c r="K48" i="14"/>
  <c r="G49" i="14"/>
  <c r="K49" i="14"/>
  <c r="G50" i="14"/>
  <c r="K50" i="14"/>
  <c r="G51" i="14"/>
  <c r="K51" i="14"/>
  <c r="G52" i="14"/>
  <c r="K52" i="14"/>
  <c r="G53" i="14"/>
  <c r="K53" i="14"/>
  <c r="G54" i="14"/>
  <c r="K54" i="14"/>
  <c r="G55" i="14"/>
  <c r="K55" i="14"/>
  <c r="K66" i="14"/>
  <c r="L7" i="14"/>
  <c r="L9" i="14"/>
  <c r="C1" i="1"/>
  <c r="AW1" i="1"/>
  <c r="AX1" i="1"/>
  <c r="AY1" i="1"/>
  <c r="D66" i="14"/>
  <c r="K7" i="14"/>
  <c r="L26" i="14"/>
  <c r="L27" i="14"/>
  <c r="L28" i="14"/>
  <c r="L29" i="14"/>
  <c r="L30" i="14"/>
  <c r="L31" i="14"/>
  <c r="L32" i="14"/>
  <c r="L33" i="14"/>
  <c r="L34" i="14"/>
  <c r="L35" i="14"/>
  <c r="K6" i="14"/>
  <c r="BB6" i="1"/>
  <c r="BA6" i="1"/>
  <c r="AZ6" i="1"/>
  <c r="M30" i="14"/>
  <c r="M43" i="14"/>
  <c r="M42" i="14"/>
  <c r="M41" i="14"/>
  <c r="D15" i="14"/>
  <c r="H15" i="14"/>
  <c r="Y6" i="1"/>
  <c r="Z6" i="1"/>
  <c r="AC6" i="1"/>
  <c r="AH6" i="1"/>
  <c r="I3" i="3"/>
  <c r="I2" i="3"/>
  <c r="BC3" i="1"/>
  <c r="J55" i="14"/>
  <c r="AB6" i="1"/>
  <c r="AD6" i="1"/>
  <c r="AA6" i="1"/>
  <c r="G74" i="14"/>
  <c r="H74" i="14"/>
  <c r="I74" i="14"/>
  <c r="J74" i="14"/>
  <c r="K74" i="14"/>
  <c r="N36" i="14"/>
  <c r="N37" i="14"/>
  <c r="N38" i="14"/>
  <c r="N39" i="14"/>
  <c r="N40" i="14"/>
  <c r="N41" i="14"/>
  <c r="N42" i="14"/>
  <c r="N43" i="14"/>
  <c r="N44" i="14"/>
  <c r="N45" i="14"/>
  <c r="N46" i="14"/>
  <c r="N47" i="14"/>
  <c r="N48" i="14"/>
  <c r="N49" i="14"/>
  <c r="M50" i="14"/>
  <c r="N50" i="14"/>
  <c r="N51" i="14"/>
  <c r="M52" i="14"/>
  <c r="N52" i="14"/>
  <c r="M53" i="14"/>
  <c r="N53" i="14"/>
  <c r="M54" i="14"/>
  <c r="N54" i="14"/>
  <c r="M55" i="14"/>
  <c r="N55" i="14"/>
  <c r="M56" i="14"/>
  <c r="N56" i="14"/>
  <c r="N57" i="14"/>
  <c r="N58" i="14"/>
  <c r="N59" i="14"/>
  <c r="M60" i="14"/>
  <c r="N60" i="14"/>
  <c r="N61" i="14"/>
  <c r="N62" i="14"/>
  <c r="N63" i="14"/>
  <c r="N64" i="14"/>
  <c r="N66" i="14"/>
  <c r="N69" i="14"/>
  <c r="M37" i="14"/>
  <c r="M38" i="14"/>
  <c r="M39" i="14"/>
  <c r="M40" i="14"/>
  <c r="M57" i="14"/>
  <c r="M62" i="14"/>
  <c r="M63" i="14"/>
  <c r="M64" i="14"/>
  <c r="M66" i="14"/>
  <c r="I66" i="14"/>
  <c r="H66" i="14"/>
  <c r="F66" i="14"/>
  <c r="M26" i="14"/>
  <c r="K6" i="1"/>
  <c r="AE6" i="1"/>
  <c r="J66" i="14"/>
  <c r="K67" i="14"/>
  <c r="G66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tc={41E3A80E-4B39-4E55-9F09-1E870825F3DC}</author>
  </authors>
  <commentList>
    <comment ref="AG5" authorId="0" shapeId="0" xr:uid="{41E3A80E-4B39-4E55-9F09-1E870825F3DC}">
      <text>
        <t>[Threaded comment]
Your version of Excel allows you to read this threaded comment; however, any edits to it will get removed if the file is opened in a newer version of Excel. Learn more: https://go.microsoft.com/fwlink/?linkid=870924
Comment:
    Average of up to first three full years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tc={F5CF6446-6182-406D-AEEB-AAF87BBA649E}</author>
    <author>tc={1897BBEB-73AE-4572-941F-F8CD0D81D16C}</author>
    <author>tc={29D05670-CE2B-4F4E-9D08-7D56056F5E4F}</author>
    <author>tc={83395CDC-1773-4D0B-A40F-0BE7896D2450}</author>
    <author>tc={305A297D-C323-4879-877E-8F43C492EB32}</author>
  </authors>
  <commentList>
    <comment ref="O2" authorId="0" shapeId="0" xr:uid="{F5CF6446-6182-406D-AEEB-AAF87BBA649E}">
      <text>
        <t>[Threaded comment]
Your version of Excel allows you to read this threaded comment; however, any edits to it will get removed if the file is opened in a newer version of Excel. Learn more: https://go.microsoft.com/fwlink/?linkid=870924
Comment:
    Used to infil future years. Where we have accounts opex data, the Hughes growth rate is applied to estimate future years. Where we do not, the whole model is used.</t>
      </text>
    </comment>
    <comment ref="X3" authorId="1" shapeId="0" xr:uid="{1897BBEB-73AE-4572-941F-F8CD0D81D16C}">
      <text>
        <t>[Threaded comment]
Your version of Excel allows you to read this threaded comment; however, any edits to it will get removed if the file is opened in a newer version of Excel. Learn more: https://go.microsoft.com/fwlink/?linkid=870924
Comment:
    Just tests for existence of accounts data for capex. If none, uses announced cost instead.</t>
      </text>
    </comment>
    <comment ref="U10" authorId="2" shapeId="0" xr:uid="{29D05670-CE2B-4F4E-9D08-7D56056F5E4F}">
      <text>
        <t>[Threaded comment]
Your version of Excel allows you to read this threaded comment; however, any edits to it will get removed if the file is opened in a newer version of Excel. Learn more: https://go.microsoft.com/fwlink/?linkid=870924
Comment:
    Best fit line through MAX  CF by distance</t>
      </text>
    </comment>
    <comment ref="T35" authorId="3" shapeId="0" xr:uid="{83395CDC-1773-4D0B-A40F-0BE7896D2450}">
      <text>
        <t>[Threaded comment]
Your version of Excel allows you to read this threaded comment; however, any edits to it will get removed if the file is opened in a newer version of Excel. Learn more: https://go.microsoft.com/fwlink/?linkid=870924
Comment:
    For when we have no data</t>
      </text>
    </comment>
    <comment ref="W35" authorId="4" shapeId="0" xr:uid="{305A297D-C323-4879-877E-8F43C492EB32}">
      <text>
        <t>[Threaded comment]
Your version of Excel allows you to read this threaded comment; however, any edits to it will get removed if the file is opened in a newer version of Excel. Learn more: https://go.microsoft.com/fwlink/?linkid=870924
Comment:
    If we have data use it, otherwise choose modelled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<sst xmlns="http://schemas.openxmlformats.org/spreadsheetml/2006/main" count="229" uniqueCount="198">
  <si>
    <t>Name</t>
  </si>
  <si>
    <t>Turbine size (MW)</t>
  </si>
  <si>
    <t>Sea</t>
  </si>
  <si>
    <t>North</t>
  </si>
  <si>
    <t>Gunfleet Sands 1&amp;2</t>
  </si>
  <si>
    <t>Robin Rigg</t>
  </si>
  <si>
    <t>Walney</t>
  </si>
  <si>
    <t>Sheringham Shoal</t>
  </si>
  <si>
    <t>Gwynt y Mor</t>
  </si>
  <si>
    <t>Westermost Rough</t>
  </si>
  <si>
    <t>Race Bank</t>
  </si>
  <si>
    <t>Aberdeen</t>
  </si>
  <si>
    <t>East Anglia 1</t>
  </si>
  <si>
    <t>Galloper</t>
  </si>
  <si>
    <t>Rampion</t>
  </si>
  <si>
    <t>Beatrice</t>
  </si>
  <si>
    <t>Capacity (MW)</t>
  </si>
  <si>
    <t>Depth (m)</t>
  </si>
  <si>
    <t>Distance offshore (km)</t>
  </si>
  <si>
    <t>Reported cost (£m)</t>
  </si>
  <si>
    <t>Notes</t>
  </si>
  <si>
    <t>Year of completion</t>
  </si>
  <si>
    <t>Diameter (m)</t>
  </si>
  <si>
    <t>Burbo Bank extension</t>
  </si>
  <si>
    <t>Latest MWh output/yr</t>
  </si>
  <si>
    <t>London Array Offshore Windfarm</t>
  </si>
  <si>
    <t>RO</t>
  </si>
  <si>
    <t>Greater Gabbard</t>
  </si>
  <si>
    <t>West of Duddon Sands Offshore Wind Farm</t>
  </si>
  <si>
    <t>Dudgeon Offshore Windfarm</t>
  </si>
  <si>
    <t>Thanet Offshore Wind Farm</t>
  </si>
  <si>
    <t>Lincs Wind Farm</t>
  </si>
  <si>
    <t>Walney Extension</t>
  </si>
  <si>
    <t>Humber Gateway Offshore Wind Farm</t>
  </si>
  <si>
    <t>Ormonde Wind Farm</t>
  </si>
  <si>
    <t>Lynn Offshore Wind Farm</t>
  </si>
  <si>
    <t>Barrow Offshore Windfarm - A</t>
  </si>
  <si>
    <t>Burbo Offshore Windfarm - A (31/01/07)</t>
  </si>
  <si>
    <t>Rhyl Flats Wind farm</t>
  </si>
  <si>
    <t>North Hoyle Offshore Wind Farm - A</t>
  </si>
  <si>
    <t>Teesside windfarm</t>
  </si>
  <si>
    <t>Scroby Sands Wind Farm</t>
  </si>
  <si>
    <t>Kentish Flats Extension Wind Farm</t>
  </si>
  <si>
    <t>Hywind Scotland Pilot Park</t>
  </si>
  <si>
    <t>Blyth Offshore Demonstrator</t>
  </si>
  <si>
    <t>Gunfleet Sands Demo</t>
  </si>
  <si>
    <t>Beatrice Offshore Windfarm</t>
  </si>
  <si>
    <t>Blyth Offshore Wind Farm</t>
  </si>
  <si>
    <t>RLF</t>
  </si>
  <si>
    <t>Area (km2)</t>
  </si>
  <si>
    <t>Depn</t>
  </si>
  <si>
    <t>Year ending</t>
  </si>
  <si>
    <t>Turnover</t>
  </si>
  <si>
    <t>COS</t>
  </si>
  <si>
    <t>Op costs</t>
  </si>
  <si>
    <t>Total costs</t>
  </si>
  <si>
    <t>Total costs less depn</t>
  </si>
  <si>
    <t>Windfarm</t>
  </si>
  <si>
    <t>Op cost per MW capacity</t>
  </si>
  <si>
    <t>Revenue £m</t>
  </si>
  <si>
    <t>Turbine</t>
  </si>
  <si>
    <t>Strike price 2012</t>
  </si>
  <si>
    <t>Strike price current</t>
  </si>
  <si>
    <t>W/M2 generated</t>
  </si>
  <si>
    <t>Market price</t>
  </si>
  <si>
    <t>Cost of CfD £m</t>
  </si>
  <si>
    <t>Year</t>
  </si>
  <si>
    <t>No turbines</t>
  </si>
  <si>
    <t>OFTO</t>
  </si>
  <si>
    <t>Inner Dowsing</t>
  </si>
  <si>
    <t>AlderseyW LCOE</t>
  </si>
  <si>
    <t>Estimated LCOE</t>
  </si>
  <si>
    <t>Turbine size</t>
  </si>
  <si>
    <t>Water depth</t>
  </si>
  <si>
    <t>Distance offshore</t>
  </si>
  <si>
    <t>Windfarm size</t>
  </si>
  <si>
    <t>Constant</t>
  </si>
  <si>
    <t>LCOE</t>
  </si>
  <si>
    <t>£/MWh</t>
  </si>
  <si>
    <t>MW</t>
  </si>
  <si>
    <t>£m</t>
  </si>
  <si>
    <t>Assumptions</t>
  </si>
  <si>
    <t>Levelised cost</t>
  </si>
  <si>
    <t>Input</t>
  </si>
  <si>
    <t>Components</t>
  </si>
  <si>
    <t>Capital charges</t>
  </si>
  <si>
    <t>MW sent out</t>
  </si>
  <si>
    <t>MW s.o.</t>
  </si>
  <si>
    <t>O&amp;M</t>
  </si>
  <si>
    <t>£m/MW</t>
  </si>
  <si>
    <t>Generation Capital Cost</t>
  </si>
  <si>
    <t>LCOE Total</t>
  </si>
  <si>
    <t>p.u. p.a.</t>
  </si>
  <si>
    <t>Overall borrowing rate</t>
  </si>
  <si>
    <t>£m/yr</t>
  </si>
  <si>
    <t>Life</t>
  </si>
  <si>
    <t>years</t>
  </si>
  <si>
    <t>Ageing Discount Factor</t>
  </si>
  <si>
    <t>p.u./p.a.</t>
  </si>
  <si>
    <t>Opex per MWh</t>
  </si>
  <si>
    <t>Capital and Operational Charges</t>
  </si>
  <si>
    <t>Borrowing Discount Factor</t>
  </si>
  <si>
    <t>Production Ageing Factor</t>
  </si>
  <si>
    <t>Output (MWh)</t>
  </si>
  <si>
    <t>Discounted  Output (MWh)</t>
  </si>
  <si>
    <t>Capex[£m]</t>
  </si>
  <si>
    <t>O&amp;M [£m]</t>
  </si>
  <si>
    <t>Fuel Cost (£m)</t>
  </si>
  <si>
    <t>Total Cost</t>
  </si>
  <si>
    <t>Total Discounted Cost (£m)</t>
  </si>
  <si>
    <t>Accumulating Debt during Construction</t>
  </si>
  <si>
    <t>Interest During Construction IDC (£m)</t>
  </si>
  <si>
    <t>Discounted debt charges (£m)</t>
  </si>
  <si>
    <t>Debt incurred during Construction (£m)</t>
  </si>
  <si>
    <t xml:space="preserve"> Repayment of Debt Principal £m</t>
  </si>
  <si>
    <t>Discounted Cash Flow of Production and Revenue Costs</t>
  </si>
  <si>
    <t>TOTALS</t>
  </si>
  <si>
    <t>Total Discounted Output</t>
  </si>
  <si>
    <t>Total Discounted  Fuel Cost (£m)</t>
  </si>
  <si>
    <t>Total Cost (£m)</t>
  </si>
  <si>
    <t>Total Cost of Debt (£m)</t>
  </si>
  <si>
    <t>Discounted Cost of Debt (£m)</t>
  </si>
  <si>
    <t>Levelised Cost Excluding Payback of Debt (£m)</t>
  </si>
  <si>
    <t>Levelised Cost of Debt payback</t>
  </si>
  <si>
    <t>Incidence of Expenditure on Capital, Planning Reserve Plant, and Transmission Connection</t>
  </si>
  <si>
    <t>Capital Plant %</t>
  </si>
  <si>
    <t>Opex</t>
  </si>
  <si>
    <t>Early yrs LF</t>
  </si>
  <si>
    <t>Kentish Flats Wind Farm</t>
  </si>
  <si>
    <t>Capex</t>
  </si>
  <si>
    <t>Model</t>
  </si>
  <si>
    <t>Commission</t>
  </si>
  <si>
    <t>Ioannou LCOE</t>
  </si>
  <si>
    <t>Model 2</t>
  </si>
  <si>
    <t>Depth parameter</t>
  </si>
  <si>
    <t>Use</t>
  </si>
  <si>
    <t>Years</t>
  </si>
  <si>
    <t>Cost per MW</t>
  </si>
  <si>
    <t>Lifetime O&amp;M rate £/MW/yr</t>
  </si>
  <si>
    <t>Reported capex/ MW</t>
  </si>
  <si>
    <t>Actual capex OFTO free</t>
  </si>
  <si>
    <t>Actual Capex with OFTO</t>
  </si>
  <si>
    <t>Op cost per MWh</t>
  </si>
  <si>
    <t>OP</t>
  </si>
  <si>
    <t>Last accounts</t>
  </si>
  <si>
    <t>Acual O&amp;M</t>
  </si>
  <si>
    <t>Growth rate</t>
  </si>
  <si>
    <t>Capacity</t>
  </si>
  <si>
    <t>CF</t>
  </si>
  <si>
    <t>MWh</t>
  </si>
  <si>
    <t>ROCs</t>
  </si>
  <si>
    <t>CF Data</t>
  </si>
  <si>
    <t>Choose</t>
  </si>
  <si>
    <t>Implied CF</t>
  </si>
  <si>
    <t>Max CF</t>
  </si>
  <si>
    <t>Parameter</t>
  </si>
  <si>
    <t>Ave opex to date £m</t>
  </si>
  <si>
    <t>Capacity factor</t>
  </si>
  <si>
    <t>GWPF LCOE 11/12/20</t>
  </si>
  <si>
    <t>Capex per MWh</t>
  </si>
  <si>
    <t>£ revenue/MWh generated</t>
  </si>
  <si>
    <t>OFTO allowance</t>
  </si>
  <si>
    <t>Capex (OFTO free)</t>
  </si>
  <si>
    <t>Year of op</t>
  </si>
  <si>
    <t>Hughes opex model</t>
  </si>
  <si>
    <t>Actual capex/MW OFTO-free</t>
  </si>
  <si>
    <t>In dollars</t>
  </si>
  <si>
    <t>BNEF LCOE</t>
  </si>
  <si>
    <t>Inflation adjusted</t>
  </si>
  <si>
    <t>Inflation multiplier</t>
  </si>
  <si>
    <t>Capex at 2018 prices</t>
  </si>
  <si>
    <t>Deflator</t>
  </si>
  <si>
    <t>WACC</t>
  </si>
  <si>
    <t>CW BNEF</t>
  </si>
  <si>
    <t>CW AW</t>
  </si>
  <si>
    <t>CW GWPF</t>
  </si>
  <si>
    <t>Wearing output</t>
  </si>
  <si>
    <t>Latitude</t>
  </si>
  <si>
    <t>Power/m2</t>
  </si>
  <si>
    <t>Per MWh</t>
  </si>
  <si>
    <t>Per MW</t>
  </si>
  <si>
    <t>MWh @</t>
  </si>
  <si>
    <t>Recent CF</t>
  </si>
  <si>
    <t>Modelled CF (wear)</t>
  </si>
  <si>
    <t>Add wear to future years</t>
  </si>
  <si>
    <t>O&amp;M models</t>
  </si>
  <si>
    <t>Model 1</t>
  </si>
  <si>
    <t>Modelled</t>
  </si>
  <si>
    <t>Type</t>
  </si>
  <si>
    <t>Floating</t>
  </si>
  <si>
    <t>Latest CF</t>
  </si>
  <si>
    <t>Y/e March</t>
  </si>
  <si>
    <t>predicted CF</t>
  </si>
  <si>
    <t>Source:</t>
  </si>
  <si>
    <t>https://renewablesandchp.ofgem.gov.uk/Public/ReportViewer.aspx?ReportPath=/DatawarehouseReports/CertificatesExternalPublicDataWarehouse&amp;ReportVisibility=1&amp;ReportCategory=2</t>
  </si>
  <si>
    <t>Source</t>
  </si>
  <si>
    <t>https://find-and-update.company-information.service.gov.uk/company/08709450</t>
  </si>
  <si>
    <t>Add future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</si>
</sst>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_-;\-* #,##0_-;_-* &quot;-&quot;??_-;_-@_-"/>
    <numFmt numFmtId="165" formatCode="0.0"/>
    <numFmt numFmtId="166" formatCode="0.000"/>
    <numFmt numFmtId="169" formatCode="0.0000"/>
    <numFmt numFmtId="170" formatCode="_-* #,##0.0_-;\-* #,##0.0_-;_-* &quot;-&quot;??_-;_-@_-"/>
    <numFmt numFmtId="171" formatCode="0.0%"/>
  </numFmts>
  <fonts count="3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6"/>
      <name val="Calibri"/>
      <family val="2"/>
      <scheme val="minor"/>
    </font>
    <font>
      <b/>
      <sz val="24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i/>
      <sz val="24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 style="thin">
        <color theme="2"/>
      </right>
      <top/>
      <bottom style="dotted">
        <color theme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/>
      <bottom style="dotted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2" fillId="0" borderId="0"/>
    <xf numFmtId="0" fontId="13" fillId="0" borderId="0"/>
    <xf numFmtId="9" fontId="12" fillId="0" borderId="0" applyFont="0" applyFill="0" applyBorder="0" applyAlignment="0" applyProtection="0"/>
  </cellStyleXfs>
  <cellXfs count="205">
    <xf numFmtId="0" fontId="0" fillId="0" borderId="0" xfId="0"/>
    <xf numFmtId="164" fontId="0" fillId="0" borderId="0" xfId="32" applyNumberFormat="1" applyFont="1"/>
    <xf numFmtId="0" fontId="0" fillId="0" borderId="0" xfId="32" applyNumberFormat="1" applyFont="1"/>
    <xf numFmtId="1" fontId="0" fillId="0" borderId="0" xfId="32" applyNumberFormat="1" applyFont="1"/>
    <xf numFmtId="0" fontId="0" fillId="0" borderId="0" xfId="32" applyNumberFormat="1" applyFont="1" applyAlignment="1">
      <alignment wrapText="1"/>
    </xf>
    <xf numFmtId="10" fontId="0" fillId="0" borderId="0" xfId="31" applyNumberFormat="1" applyFont="1" applyAlignment="1">
      <alignment wrapText="1"/>
    </xf>
    <xf numFmtId="10" fontId="0" fillId="0" borderId="0" xfId="31" applyNumberFormat="1" applyFont="1"/>
    <xf numFmtId="170" fontId="0" fillId="0" borderId="0" xfId="32" applyNumberFormat="1" applyFont="1" applyAlignment="1">
      <alignment wrapText="1"/>
    </xf>
    <xf numFmtId="170" fontId="0" fillId="0" borderId="0" xfId="32" applyNumberFormat="1" applyFont="1"/>
    <xf numFmtId="164" fontId="0" fillId="0" borderId="0" xfId="32" applyNumberFormat="1" applyFont="1" applyAlignment="1">
      <alignment wrapText="1"/>
    </xf>
    <xf numFmtId="0" fontId="16" fillId="0" borderId="0" xfId="33" applyFont="1"/>
    <xf numFmtId="0" fontId="17" fillId="0" borderId="0" xfId="33" applyFont="1"/>
    <xf numFmtId="43" fontId="16" fillId="0" borderId="0" xfId="32" applyNumberFormat="1" applyFont="1"/>
    <xf numFmtId="9" fontId="16" fillId="0" borderId="0" xfId="33" applyNumberFormat="1" applyFont="1"/>
    <xf numFmtId="2" fontId="16" fillId="0" borderId="0" xfId="33" applyNumberFormat="1" applyFont="1"/>
    <xf numFmtId="1" fontId="16" fillId="0" borderId="0" xfId="33" applyNumberFormat="1" applyFont="1"/>
    <xf numFmtId="10" fontId="16" fillId="0" borderId="0" xfId="33" applyNumberFormat="1" applyFont="1"/>
    <xf numFmtId="164" fontId="16" fillId="0" borderId="0" xfId="32" applyNumberFormat="1" applyFont="1"/>
    <xf numFmtId="166" fontId="16" fillId="0" borderId="0" xfId="33" applyNumberFormat="1" applyFont="1"/>
    <xf numFmtId="165" fontId="16" fillId="0" borderId="0" xfId="33" applyNumberFormat="1" applyFont="1"/>
    <xf numFmtId="0" fontId="16" fillId="12" borderId="0" xfId="33" applyFont="1" applyFill="1"/>
    <xf numFmtId="171" fontId="16" fillId="0" borderId="0" xfId="31" applyNumberFormat="1" applyFont="1"/>
    <xf numFmtId="43" fontId="16" fillId="0" borderId="0" xfId="32" applyFont="1"/>
    <xf numFmtId="164" fontId="16" fillId="0" borderId="0" xfId="33" applyNumberFormat="1" applyFont="1"/>
    <xf numFmtId="169" fontId="16" fillId="0" borderId="0" xfId="33" applyNumberFormat="1" applyFont="1"/>
    <xf numFmtId="0" fontId="20" fillId="0" borderId="0" xfId="33" applyFont="1" applyAlignment="1">
      <alignment horizontal="left"/>
    </xf>
    <xf numFmtId="0" fontId="22" fillId="0" borderId="0" xfId="33" applyFont="1" applyAlignment="1">
      <alignment horizontal="left"/>
    </xf>
    <xf numFmtId="0" fontId="23" fillId="0" borderId="0" xfId="33" applyFont="1" applyAlignment="1">
      <alignment horizontal="left"/>
    </xf>
    <xf numFmtId="0" fontId="24" fillId="0" borderId="0" xfId="33" applyFont="1" applyAlignment="1">
      <alignment horizontal="left"/>
    </xf>
    <xf numFmtId="0" fontId="25" fillId="0" borderId="0" xfId="34" applyFont="1"/>
    <xf numFmtId="0" fontId="24" fillId="0" borderId="0" xfId="33" applyFont="1"/>
    <xf numFmtId="0" fontId="21" fillId="0" borderId="0" xfId="33" applyFont="1"/>
    <xf numFmtId="0" fontId="26" fillId="0" borderId="0" xfId="33" applyFont="1"/>
    <xf numFmtId="0" fontId="22" fillId="4" borderId="0" xfId="33" applyFont="1" applyFill="1" applyAlignment="1">
      <alignment horizontal="center" vertical="center"/>
    </xf>
    <xf numFmtId="0" fontId="22" fillId="5" borderId="1" xfId="33" applyFont="1" applyFill="1" applyBorder="1" applyAlignment="1">
      <alignment horizontal="left" vertical="center"/>
    </xf>
    <xf numFmtId="0" fontId="22" fillId="5" borderId="1" xfId="33" applyFont="1" applyFill="1" applyBorder="1" applyAlignment="1">
      <alignment horizontal="center" vertical="center"/>
    </xf>
    <xf numFmtId="0" fontId="22" fillId="5" borderId="2" xfId="33" applyFont="1" applyFill="1" applyBorder="1" applyAlignment="1">
      <alignment horizontal="left" vertical="center"/>
    </xf>
    <xf numFmtId="0" fontId="22" fillId="5" borderId="2" xfId="33" applyFont="1" applyFill="1" applyBorder="1" applyAlignment="1">
      <alignment horizontal="center" vertical="center"/>
    </xf>
    <xf numFmtId="0" fontId="22" fillId="5" borderId="2" xfId="33" applyFont="1" applyFill="1" applyBorder="1" applyAlignment="1">
      <alignment horizontal="right" vertical="center"/>
    </xf>
    <xf numFmtId="1" fontId="26" fillId="0" borderId="0" xfId="33" applyNumberFormat="1" applyFont="1"/>
    <xf numFmtId="0" fontId="22" fillId="5" borderId="3" xfId="33" applyFont="1" applyFill="1" applyBorder="1" applyAlignment="1">
      <alignment horizontal="left" vertical="center"/>
    </xf>
    <xf numFmtId="1" fontId="22" fillId="5" borderId="0" xfId="33" applyNumberFormat="1" applyFont="1" applyFill="1" applyAlignment="1">
      <alignment horizontal="right" vertical="center"/>
    </xf>
    <xf numFmtId="0" fontId="22" fillId="5" borderId="0" xfId="33" applyFont="1" applyFill="1" applyAlignment="1">
      <alignment horizontal="left" vertical="center"/>
    </xf>
    <xf numFmtId="1" fontId="22" fillId="5" borderId="2" xfId="33" applyNumberFormat="1" applyFont="1" applyFill="1" applyBorder="1" applyAlignment="1">
      <alignment horizontal="right" vertical="center"/>
    </xf>
    <xf numFmtId="0" fontId="22" fillId="5" borderId="4" xfId="33" applyFont="1" applyFill="1" applyBorder="1" applyAlignment="1">
      <alignment horizontal="left" vertical="center"/>
    </xf>
    <xf numFmtId="1" fontId="22" fillId="5" borderId="5" xfId="33" applyNumberFormat="1" applyFont="1" applyFill="1" applyBorder="1" applyAlignment="1">
      <alignment horizontal="right" vertical="center"/>
    </xf>
    <xf numFmtId="0" fontId="24" fillId="8" borderId="0" xfId="33" applyFont="1" applyFill="1"/>
    <xf numFmtId="166" fontId="24" fillId="8" borderId="0" xfId="33" applyNumberFormat="1" applyFont="1" applyFill="1" applyAlignment="1">
      <alignment horizontal="right"/>
    </xf>
    <xf numFmtId="0" fontId="24" fillId="8" borderId="0" xfId="33" applyFont="1" applyFill="1" applyAlignment="1">
      <alignment horizontal="right"/>
    </xf>
    <xf numFmtId="1" fontId="24" fillId="8" borderId="0" xfId="33" applyNumberFormat="1" applyFont="1" applyFill="1" applyAlignment="1">
      <alignment horizontal="center"/>
    </xf>
    <xf numFmtId="0" fontId="24" fillId="8" borderId="0" xfId="33" applyFont="1" applyFill="1" applyAlignment="1">
      <alignment horizontal="center"/>
    </xf>
    <xf numFmtId="1" fontId="28" fillId="9" borderId="9" xfId="33" applyNumberFormat="1" applyFont="1" applyFill="1" applyBorder="1" applyAlignment="1">
      <alignment horizontal="center" vertical="center"/>
    </xf>
    <xf numFmtId="0" fontId="29" fillId="9" borderId="0" xfId="33" applyFont="1" applyFill="1"/>
    <xf numFmtId="1" fontId="19" fillId="9" borderId="0" xfId="33" applyNumberFormat="1" applyFont="1" applyFill="1" applyAlignment="1">
      <alignment horizontal="center"/>
    </xf>
    <xf numFmtId="166" fontId="24" fillId="8" borderId="0" xfId="33" applyNumberFormat="1" applyFont="1" applyFill="1"/>
    <xf numFmtId="1" fontId="24" fillId="8" borderId="0" xfId="33" applyNumberFormat="1" applyFont="1" applyFill="1" applyAlignment="1">
      <alignment horizontal="right"/>
    </xf>
    <xf numFmtId="2" fontId="24" fillId="8" borderId="0" xfId="33" applyNumberFormat="1" applyFont="1" applyFill="1" applyAlignment="1">
      <alignment horizontal="center"/>
    </xf>
    <xf numFmtId="2" fontId="24" fillId="10" borderId="0" xfId="33" applyNumberFormat="1" applyFont="1" applyFill="1" applyAlignment="1">
      <alignment horizontal="center"/>
    </xf>
    <xf numFmtId="0" fontId="23" fillId="8" borderId="0" xfId="33" applyFont="1" applyFill="1" applyAlignment="1">
      <alignment horizontal="center" vertical="center"/>
    </xf>
    <xf numFmtId="166" fontId="24" fillId="8" borderId="0" xfId="33" applyNumberFormat="1" applyFont="1" applyFill="1" applyAlignment="1">
      <alignment horizontal="center" vertical="center"/>
    </xf>
    <xf numFmtId="0" fontId="24" fillId="8" borderId="0" xfId="33" applyFont="1" applyFill="1" applyAlignment="1">
      <alignment horizontal="center" vertical="center"/>
    </xf>
    <xf numFmtId="0" fontId="23" fillId="8" borderId="0" xfId="33" applyFont="1" applyFill="1" applyAlignment="1">
      <alignment horizontal="center" vertical="center" wrapText="1"/>
    </xf>
    <xf numFmtId="1" fontId="22" fillId="9" borderId="0" xfId="33" applyNumberFormat="1" applyFont="1" applyFill="1" applyAlignment="1">
      <alignment horizontal="center" vertical="center" wrapText="1"/>
    </xf>
    <xf numFmtId="0" fontId="22" fillId="9" borderId="0" xfId="33" applyFont="1" applyFill="1" applyAlignment="1">
      <alignment horizontal="center" vertical="center" wrapText="1"/>
    </xf>
    <xf numFmtId="166" fontId="23" fillId="8" borderId="0" xfId="33" applyNumberFormat="1" applyFont="1" applyFill="1" applyAlignment="1">
      <alignment horizontal="right"/>
    </xf>
    <xf numFmtId="1" fontId="23" fillId="8" borderId="0" xfId="33" applyNumberFormat="1" applyFont="1" applyFill="1" applyAlignment="1">
      <alignment horizontal="center"/>
    </xf>
    <xf numFmtId="1" fontId="22" fillId="9" borderId="0" xfId="33" applyNumberFormat="1" applyFont="1" applyFill="1" applyAlignment="1">
      <alignment horizontal="center" vertical="center"/>
    </xf>
    <xf numFmtId="165" fontId="23" fillId="8" borderId="0" xfId="33" applyNumberFormat="1" applyFont="1" applyFill="1" applyAlignment="1">
      <alignment vertical="center"/>
    </xf>
    <xf numFmtId="165" fontId="22" fillId="9" borderId="0" xfId="33" applyNumberFormat="1" applyFont="1" applyFill="1" applyAlignment="1">
      <alignment horizontal="center" vertical="center"/>
    </xf>
    <xf numFmtId="0" fontId="22" fillId="4" borderId="16" xfId="33" applyFont="1" applyFill="1" applyBorder="1" applyAlignment="1">
      <alignment horizontal="center" vertical="center"/>
    </xf>
    <xf numFmtId="0" fontId="22" fillId="4" borderId="17" xfId="33" applyFont="1" applyFill="1" applyBorder="1" applyAlignment="1">
      <alignment horizontal="center" vertical="center"/>
    </xf>
    <xf numFmtId="0" fontId="22" fillId="4" borderId="16" xfId="33" applyFont="1" applyFill="1" applyBorder="1" applyAlignment="1">
      <alignment horizontal="center" vertical="center" wrapText="1"/>
    </xf>
    <xf numFmtId="1" fontId="32" fillId="11" borderId="0" xfId="33" applyNumberFormat="1" applyFont="1" applyFill="1" applyAlignment="1">
      <alignment horizontal="center" vertical="center"/>
    </xf>
    <xf numFmtId="1" fontId="32" fillId="11" borderId="17" xfId="33" applyNumberFormat="1" applyFont="1" applyFill="1" applyBorder="1" applyAlignment="1">
      <alignment horizontal="center" vertical="center"/>
    </xf>
    <xf numFmtId="0" fontId="11" fillId="0" borderId="0" xfId="0" applyFont="1"/>
    <xf numFmtId="0" fontId="24" fillId="12" borderId="0" xfId="33" applyFont="1" applyFill="1"/>
    <xf numFmtId="0" fontId="17" fillId="4" borderId="0" xfId="33" applyFont="1" applyFill="1"/>
    <xf numFmtId="0" fontId="17" fillId="4" borderId="0" xfId="33" applyFont="1" applyFill="1" applyAlignment="1">
      <alignment horizontal="center" vertical="center"/>
    </xf>
    <xf numFmtId="0" fontId="16" fillId="4" borderId="0" xfId="33" applyFont="1" applyFill="1"/>
    <xf numFmtId="0" fontId="16" fillId="4" borderId="0" xfId="33" applyFont="1" applyFill="1" applyAlignment="1">
      <alignment vertical="center"/>
    </xf>
    <xf numFmtId="0" fontId="17" fillId="2" borderId="0" xfId="33" applyFont="1" applyFill="1" applyAlignment="1">
      <alignment horizontal="center" vertical="center"/>
    </xf>
    <xf numFmtId="0" fontId="17" fillId="4" borderId="0" xfId="33" applyFont="1" applyFill="1" applyAlignment="1">
      <alignment horizontal="left" vertical="center"/>
    </xf>
    <xf numFmtId="0" fontId="17" fillId="4" borderId="0" xfId="33" applyFont="1" applyFill="1" applyAlignment="1">
      <alignment horizontal="center" vertical="center" wrapText="1"/>
    </xf>
    <xf numFmtId="166" fontId="16" fillId="4" borderId="0" xfId="33" applyNumberFormat="1" applyFont="1" applyFill="1" applyAlignment="1">
      <alignment vertical="center"/>
    </xf>
    <xf numFmtId="2" fontId="17" fillId="2" borderId="0" xfId="33" applyNumberFormat="1" applyFont="1" applyFill="1" applyAlignment="1">
      <alignment horizontal="center" vertical="center"/>
    </xf>
    <xf numFmtId="166" fontId="17" fillId="6" borderId="0" xfId="33" applyNumberFormat="1" applyFont="1" applyFill="1" applyAlignment="1">
      <alignment horizontal="center" vertical="center"/>
    </xf>
    <xf numFmtId="9" fontId="16" fillId="4" borderId="0" xfId="35" applyFont="1" applyFill="1" applyAlignment="1">
      <alignment vertical="center"/>
    </xf>
    <xf numFmtId="166" fontId="17" fillId="4" borderId="0" xfId="33" applyNumberFormat="1" applyFont="1" applyFill="1" applyAlignment="1">
      <alignment horizontal="center" vertical="center" wrapText="1"/>
    </xf>
    <xf numFmtId="164" fontId="17" fillId="4" borderId="0" xfId="32" applyNumberFormat="1" applyFont="1" applyFill="1" applyAlignment="1">
      <alignment horizontal="right" vertical="center"/>
    </xf>
    <xf numFmtId="4" fontId="17" fillId="4" borderId="0" xfId="33" applyNumberFormat="1" applyFont="1" applyFill="1" applyAlignment="1">
      <alignment horizontal="center" vertical="center" wrapText="1"/>
    </xf>
    <xf numFmtId="2" fontId="17" fillId="4" borderId="0" xfId="33" applyNumberFormat="1" applyFont="1" applyFill="1" applyAlignment="1">
      <alignment horizontal="center" vertical="center" wrapText="1"/>
    </xf>
    <xf numFmtId="164" fontId="16" fillId="0" borderId="18" xfId="33" applyNumberFormat="1" applyFont="1" applyBorder="1"/>
    <xf numFmtId="1" fontId="17" fillId="4" borderId="0" xfId="33" applyNumberFormat="1" applyFont="1" applyFill="1" applyAlignment="1">
      <alignment horizontal="center" vertical="center" wrapText="1"/>
    </xf>
    <xf numFmtId="0" fontId="17" fillId="4" borderId="0" xfId="33" applyFont="1" applyFill="1" applyAlignment="1"/>
    <xf numFmtId="0" fontId="17" fillId="4" borderId="0" xfId="33" applyFont="1" applyFill="1" applyAlignment="1">
      <alignment horizontal="left"/>
    </xf>
    <xf numFmtId="2" fontId="17" fillId="4" borderId="0" xfId="33" applyNumberFormat="1" applyFont="1" applyFill="1" applyAlignment="1">
      <alignment horizontal="right" vertical="center"/>
    </xf>
    <xf numFmtId="0" fontId="8" fillId="0" borderId="0" xfId="0" applyFont="1" applyFill="1"/>
    <xf numFmtId="0" fontId="8" fillId="13" borderId="0" xfId="0" applyFont="1" applyFill="1"/>
    <xf numFmtId="0" fontId="8" fillId="14" borderId="0" xfId="0" applyFont="1" applyFill="1"/>
    <xf numFmtId="1" fontId="8" fillId="3" borderId="0" xfId="0" applyNumberFormat="1" applyFont="1" applyFill="1"/>
    <xf numFmtId="0" fontId="8" fillId="3" borderId="0" xfId="0" applyFont="1" applyFill="1"/>
    <xf numFmtId="164" fontId="8" fillId="3" borderId="0" xfId="32" applyNumberFormat="1" applyFont="1" applyFill="1"/>
    <xf numFmtId="0" fontId="8" fillId="15" borderId="0" xfId="0" applyFont="1" applyFill="1"/>
    <xf numFmtId="1" fontId="8" fillId="15" borderId="0" xfId="0" applyNumberFormat="1" applyFont="1" applyFill="1"/>
    <xf numFmtId="164" fontId="8" fillId="15" borderId="0" xfId="32" applyNumberFormat="1" applyFont="1" applyFill="1"/>
    <xf numFmtId="1" fontId="8" fillId="0" borderId="0" xfId="0" applyNumberFormat="1" applyFont="1" applyFill="1"/>
    <xf numFmtId="9" fontId="8" fillId="0" borderId="0" xfId="31" applyFont="1" applyFill="1"/>
    <xf numFmtId="0" fontId="8" fillId="0" borderId="0" xfId="0" applyFont="1" applyFill="1" applyAlignment="1">
      <alignment horizontal="center" textRotation="90"/>
    </xf>
    <xf numFmtId="0" fontId="8" fillId="0" borderId="0" xfId="0" applyFont="1" applyFill="1" applyAlignment="1">
      <alignment horizontal="center" vertical="center" textRotation="90" wrapText="1"/>
    </xf>
    <xf numFmtId="0" fontId="8" fillId="13" borderId="0" xfId="0" applyFont="1" applyFill="1" applyAlignment="1">
      <alignment horizontal="center" vertical="center" textRotation="90" wrapText="1"/>
    </xf>
    <xf numFmtId="0" fontId="8" fillId="14" borderId="0" xfId="0" applyFont="1" applyFill="1" applyAlignment="1">
      <alignment horizontal="center" vertical="center" textRotation="90" wrapText="1"/>
    </xf>
    <xf numFmtId="1" fontId="8" fillId="3" borderId="0" xfId="0" applyNumberFormat="1" applyFont="1" applyFill="1" applyAlignment="1">
      <alignment horizontal="center" vertical="center" textRotation="90" wrapText="1"/>
    </xf>
    <xf numFmtId="0" fontId="8" fillId="3" borderId="0" xfId="0" applyFont="1" applyFill="1" applyAlignment="1">
      <alignment horizontal="center" vertical="center" textRotation="90" wrapText="1"/>
    </xf>
    <xf numFmtId="164" fontId="8" fillId="3" borderId="0" xfId="32" applyNumberFormat="1" applyFont="1" applyFill="1" applyAlignment="1">
      <alignment horizontal="center" vertical="center" textRotation="90" wrapText="1"/>
    </xf>
    <xf numFmtId="0" fontId="8" fillId="15" borderId="0" xfId="0" applyFont="1" applyFill="1" applyAlignment="1">
      <alignment horizontal="center" vertical="center" textRotation="90" wrapText="1"/>
    </xf>
    <xf numFmtId="164" fontId="8" fillId="15" borderId="0" xfId="32" applyNumberFormat="1" applyFont="1" applyFill="1" applyAlignment="1">
      <alignment horizontal="center" vertical="center" textRotation="90" wrapText="1"/>
    </xf>
    <xf numFmtId="9" fontId="8" fillId="0" borderId="0" xfId="31" applyFont="1" applyFill="1" applyAlignment="1">
      <alignment horizontal="center" textRotation="90"/>
    </xf>
    <xf numFmtId="3" fontId="8" fillId="13" borderId="0" xfId="0" applyNumberFormat="1" applyFont="1" applyFill="1"/>
    <xf numFmtId="3" fontId="8" fillId="14" borderId="0" xfId="0" applyNumberFormat="1" applyFont="1" applyFill="1"/>
    <xf numFmtId="4" fontId="8" fillId="3" borderId="0" xfId="0" applyNumberFormat="1" applyFont="1" applyFill="1"/>
    <xf numFmtId="3" fontId="8" fillId="3" borderId="0" xfId="0" applyNumberFormat="1" applyFont="1" applyFill="1"/>
    <xf numFmtId="2" fontId="8" fillId="0" borderId="0" xfId="0" applyNumberFormat="1" applyFont="1" applyFill="1"/>
    <xf numFmtId="2" fontId="8" fillId="15" borderId="0" xfId="0" applyNumberFormat="1" applyFont="1" applyFill="1"/>
    <xf numFmtId="1" fontId="8" fillId="2" borderId="0" xfId="0" applyNumberFormat="1" applyFont="1" applyFill="1"/>
    <xf numFmtId="165" fontId="8" fillId="0" borderId="0" xfId="0" applyNumberFormat="1" applyFont="1" applyFill="1"/>
    <xf numFmtId="3" fontId="14" fillId="0" borderId="0" xfId="0" applyNumberFormat="1" applyFont="1" applyFill="1"/>
    <xf numFmtId="9" fontId="14" fillId="0" borderId="0" xfId="31" applyFont="1" applyFill="1"/>
    <xf numFmtId="3" fontId="14" fillId="0" borderId="0" xfId="0" applyNumberFormat="1" applyFont="1" applyFill="1" applyAlignment="1">
      <alignment horizontal="center" textRotation="90"/>
    </xf>
    <xf numFmtId="0" fontId="14" fillId="0" borderId="0" xfId="0" applyFont="1" applyFill="1"/>
    <xf numFmtId="0" fontId="17" fillId="4" borderId="0" xfId="33" applyFont="1" applyFill="1" applyAlignment="1">
      <alignment horizontal="right" vertical="center"/>
    </xf>
    <xf numFmtId="0" fontId="8" fillId="0" borderId="0" xfId="0" applyNumberFormat="1" applyFont="1" applyFill="1"/>
    <xf numFmtId="0" fontId="8" fillId="0" borderId="0" xfId="0" applyNumberFormat="1" applyFont="1" applyFill="1" applyAlignment="1">
      <alignment horizontal="center" vertical="center" textRotation="90" wrapText="1"/>
    </xf>
    <xf numFmtId="2" fontId="26" fillId="0" borderId="0" xfId="33" applyNumberFormat="1" applyFont="1"/>
    <xf numFmtId="0" fontId="7" fillId="3" borderId="0" xfId="0" applyFont="1" applyFill="1" applyAlignment="1">
      <alignment horizontal="center" vertical="center" textRotation="90" wrapText="1"/>
    </xf>
    <xf numFmtId="43" fontId="0" fillId="0" borderId="0" xfId="32" applyNumberFormat="1" applyFont="1"/>
    <xf numFmtId="171" fontId="16" fillId="0" borderId="0" xfId="33" applyNumberFormat="1" applyFont="1"/>
    <xf numFmtId="0" fontId="7" fillId="0" borderId="0" xfId="0" applyFont="1" applyFill="1" applyAlignment="1">
      <alignment horizontal="center" vertical="center" textRotation="90" wrapText="1"/>
    </xf>
    <xf numFmtId="0" fontId="33" fillId="0" borderId="0" xfId="0" applyFont="1"/>
    <xf numFmtId="0" fontId="33" fillId="0" borderId="0" xfId="0" applyFont="1" applyAlignment="1">
      <alignment horizontal="center"/>
    </xf>
    <xf numFmtId="0" fontId="33" fillId="0" borderId="0" xfId="0" applyFont="1" applyBorder="1" applyAlignment="1">
      <alignment horizontal="center"/>
    </xf>
    <xf numFmtId="0" fontId="7" fillId="0" borderId="0" xfId="0" applyFont="1"/>
    <xf numFmtId="0" fontId="7" fillId="0" borderId="0" xfId="0" applyFont="1" applyBorder="1"/>
    <xf numFmtId="9" fontId="15" fillId="0" borderId="0" xfId="31" applyFont="1" applyBorder="1" applyAlignment="1">
      <alignment horizontal="center" vertical="center"/>
    </xf>
    <xf numFmtId="3" fontId="14" fillId="0" borderId="0" xfId="0" applyNumberFormat="1" applyFont="1" applyFill="1" applyBorder="1" applyAlignment="1">
      <alignment horizontal="right" vertical="center"/>
    </xf>
    <xf numFmtId="0" fontId="14" fillId="0" borderId="0" xfId="0" applyFont="1" applyBorder="1" applyAlignment="1">
      <alignment vertical="center"/>
    </xf>
    <xf numFmtId="9" fontId="14" fillId="0" borderId="0" xfId="31" applyFont="1" applyBorder="1" applyAlignment="1">
      <alignment horizontal="right" vertical="center"/>
    </xf>
    <xf numFmtId="0" fontId="34" fillId="3" borderId="0" xfId="0" applyFont="1" applyFill="1" applyAlignment="1">
      <alignment horizontal="left"/>
    </xf>
    <xf numFmtId="0" fontId="7" fillId="3" borderId="0" xfId="0" applyFont="1" applyFill="1"/>
    <xf numFmtId="0" fontId="7" fillId="3" borderId="0" xfId="0" applyFont="1" applyFill="1" applyBorder="1"/>
    <xf numFmtId="9" fontId="14" fillId="3" borderId="0" xfId="31" applyFont="1" applyFill="1" applyBorder="1" applyAlignment="1">
      <alignment horizontal="right" vertical="center"/>
    </xf>
    <xf numFmtId="166" fontId="7" fillId="0" borderId="0" xfId="0" applyNumberFormat="1" applyFont="1"/>
    <xf numFmtId="1" fontId="8" fillId="14" borderId="0" xfId="0" applyNumberFormat="1" applyFont="1" applyFill="1"/>
    <xf numFmtId="0" fontId="24" fillId="3" borderId="0" xfId="33" applyFont="1" applyFill="1"/>
    <xf numFmtId="0" fontId="16" fillId="3" borderId="0" xfId="33" applyFont="1" applyFill="1"/>
    <xf numFmtId="2" fontId="24" fillId="3" borderId="0" xfId="33" applyNumberFormat="1" applyFont="1" applyFill="1"/>
    <xf numFmtId="165" fontId="16" fillId="3" borderId="0" xfId="33" applyNumberFormat="1" applyFont="1" applyFill="1"/>
    <xf numFmtId="2" fontId="16" fillId="3" borderId="0" xfId="33" applyNumberFormat="1" applyFont="1" applyFill="1"/>
    <xf numFmtId="1" fontId="16" fillId="3" borderId="0" xfId="33" applyNumberFormat="1" applyFont="1" applyFill="1"/>
    <xf numFmtId="0" fontId="16" fillId="15" borderId="0" xfId="33" applyFont="1" applyFill="1" applyAlignment="1">
      <alignment horizontal="right" wrapText="1"/>
    </xf>
    <xf numFmtId="165" fontId="16" fillId="15" borderId="0" xfId="33" applyNumberFormat="1" applyFont="1" applyFill="1" applyAlignment="1">
      <alignment horizontal="right" wrapText="1"/>
    </xf>
    <xf numFmtId="0" fontId="16" fillId="15" borderId="0" xfId="33" applyFont="1" applyFill="1"/>
    <xf numFmtId="9" fontId="16" fillId="15" borderId="0" xfId="31" applyFont="1" applyFill="1"/>
    <xf numFmtId="1" fontId="16" fillId="15" borderId="0" xfId="33" applyNumberFormat="1" applyFont="1" applyFill="1"/>
    <xf numFmtId="9" fontId="16" fillId="15" borderId="0" xfId="33" applyNumberFormat="1" applyFont="1" applyFill="1"/>
    <xf numFmtId="1" fontId="22" fillId="5" borderId="3" xfId="33" applyNumberFormat="1" applyFont="1" applyFill="1" applyBorder="1" applyAlignment="1">
      <alignment horizontal="right" vertical="center"/>
    </xf>
    <xf numFmtId="0" fontId="6" fillId="13" borderId="0" xfId="0" applyFont="1" applyFill="1" applyAlignment="1">
      <alignment horizontal="center" vertical="center" textRotation="90" wrapText="1"/>
    </xf>
    <xf numFmtId="2" fontId="8" fillId="13" borderId="0" xfId="0" applyNumberFormat="1" applyFont="1" applyFill="1"/>
    <xf numFmtId="0" fontId="5" fillId="14" borderId="0" xfId="0" applyFont="1" applyFill="1" applyAlignment="1">
      <alignment horizontal="center" vertical="center" textRotation="90" wrapText="1"/>
    </xf>
    <xf numFmtId="0" fontId="4" fillId="15" borderId="0" xfId="0" applyFont="1" applyFill="1" applyAlignment="1">
      <alignment horizontal="center" vertical="center" textRotation="90" wrapText="1"/>
    </xf>
    <xf numFmtId="9" fontId="8" fillId="15" borderId="0" xfId="31" applyFont="1" applyFill="1"/>
    <xf numFmtId="1" fontId="24" fillId="0" borderId="0" xfId="33" applyNumberFormat="1" applyFont="1"/>
    <xf numFmtId="0" fontId="3" fillId="0" borderId="0" xfId="0" applyFont="1" applyFill="1" applyAlignment="1">
      <alignment horizontal="center" vertical="center" textRotation="90" wrapText="1"/>
    </xf>
    <xf numFmtId="0" fontId="3" fillId="0" borderId="0" xfId="0" applyFont="1" applyFill="1" applyBorder="1"/>
    <xf numFmtId="0" fontId="7" fillId="14" borderId="0" xfId="0" applyFont="1" applyFill="1"/>
    <xf numFmtId="0" fontId="14" fillId="14" borderId="0" xfId="0" applyFont="1" applyFill="1" applyBorder="1" applyAlignment="1">
      <alignment vertical="center"/>
    </xf>
    <xf numFmtId="164" fontId="15" fillId="0" borderId="0" xfId="32" applyNumberFormat="1" applyFont="1" applyBorder="1" applyAlignment="1">
      <alignment horizontal="center" vertical="center"/>
    </xf>
    <xf numFmtId="164" fontId="14" fillId="0" borderId="0" xfId="32" applyNumberFormat="1" applyFont="1" applyBorder="1" applyAlignment="1">
      <alignment horizontal="right" vertical="center"/>
    </xf>
    <xf numFmtId="164" fontId="14" fillId="3" borderId="0" xfId="32" applyNumberFormat="1" applyFont="1" applyFill="1" applyBorder="1" applyAlignment="1">
      <alignment horizontal="right" vertical="center"/>
    </xf>
    <xf numFmtId="164" fontId="7" fillId="14" borderId="0" xfId="32" applyNumberFormat="1" applyFont="1" applyFill="1"/>
    <xf numFmtId="164" fontId="33" fillId="0" borderId="0" xfId="32" applyNumberFormat="1" applyFont="1" applyBorder="1" applyAlignment="1">
      <alignment horizontal="center"/>
    </xf>
    <xf numFmtId="164" fontId="34" fillId="3" borderId="0" xfId="32" applyNumberFormat="1" applyFont="1" applyFill="1"/>
    <xf numFmtId="164" fontId="7" fillId="0" borderId="0" xfId="32" applyNumberFormat="1" applyFont="1" applyBorder="1"/>
    <xf numFmtId="1" fontId="2" fillId="3" borderId="0" xfId="0" applyNumberFormat="1" applyFont="1" applyFill="1" applyAlignment="1">
      <alignment horizontal="center" vertical="center" textRotation="90" wrapText="1"/>
    </xf>
    <xf numFmtId="169" fontId="7" fillId="0" borderId="0" xfId="0" applyNumberFormat="1" applyFont="1"/>
    <xf numFmtId="9" fontId="8" fillId="0" borderId="0" xfId="0" applyNumberFormat="1" applyFont="1" applyFill="1"/>
    <xf numFmtId="0" fontId="1" fillId="0" borderId="0" xfId="0" applyFont="1" applyFill="1"/>
    <xf numFmtId="9" fontId="26" fillId="0" borderId="0" xfId="31" applyFont="1"/>
    <xf numFmtId="0" fontId="18" fillId="9" borderId="6" xfId="33" applyFont="1" applyFill="1" applyBorder="1" applyAlignment="1">
      <alignment horizontal="center" vertical="center" wrapText="1"/>
    </xf>
    <xf numFmtId="0" fontId="18" fillId="9" borderId="10" xfId="33" applyFont="1" applyFill="1" applyBorder="1" applyAlignment="1">
      <alignment horizontal="center" vertical="center" wrapText="1"/>
    </xf>
    <xf numFmtId="0" fontId="18" fillId="9" borderId="11" xfId="33" applyFont="1" applyFill="1" applyBorder="1" applyAlignment="1">
      <alignment horizontal="center" vertical="center" wrapText="1"/>
    </xf>
    <xf numFmtId="0" fontId="31" fillId="4" borderId="14" xfId="33" applyFont="1" applyFill="1" applyBorder="1" applyAlignment="1">
      <alignment horizontal="center" vertical="center"/>
    </xf>
    <xf numFmtId="0" fontId="31" fillId="4" borderId="3" xfId="33" applyFont="1" applyFill="1" applyBorder="1" applyAlignment="1">
      <alignment horizontal="center" vertical="center"/>
    </xf>
    <xf numFmtId="0" fontId="31" fillId="4" borderId="15" xfId="33" applyFont="1" applyFill="1" applyBorder="1" applyAlignment="1">
      <alignment horizontal="center" vertical="center"/>
    </xf>
    <xf numFmtId="0" fontId="18" fillId="9" borderId="9" xfId="33" applyFont="1" applyFill="1" applyBorder="1" applyAlignment="1">
      <alignment horizontal="center" vertical="center" wrapText="1"/>
    </xf>
    <xf numFmtId="0" fontId="30" fillId="8" borderId="12" xfId="33" applyFont="1" applyFill="1" applyBorder="1" applyAlignment="1">
      <alignment horizontal="center" vertical="center" textRotation="90"/>
    </xf>
    <xf numFmtId="0" fontId="30" fillId="8" borderId="13" xfId="33" applyFont="1" applyFill="1" applyBorder="1" applyAlignment="1">
      <alignment horizontal="center" vertical="center" textRotation="90"/>
    </xf>
    <xf numFmtId="0" fontId="23" fillId="8" borderId="0" xfId="33" applyFont="1" applyFill="1" applyAlignment="1">
      <alignment horizontal="center" vertical="center" wrapText="1"/>
    </xf>
    <xf numFmtId="165" fontId="23" fillId="8" borderId="0" xfId="33" applyNumberFormat="1" applyFont="1" applyFill="1" applyAlignment="1">
      <alignment horizontal="center" vertical="center"/>
    </xf>
    <xf numFmtId="0" fontId="23" fillId="9" borderId="0" xfId="33" applyFont="1" applyFill="1" applyAlignment="1">
      <alignment horizontal="center" vertical="center" wrapText="1"/>
    </xf>
    <xf numFmtId="0" fontId="27" fillId="7" borderId="0" xfId="33" applyFont="1" applyFill="1" applyAlignment="1">
      <alignment horizontal="center" vertical="center"/>
    </xf>
    <xf numFmtId="0" fontId="22" fillId="8" borderId="0" xfId="33" applyFont="1" applyFill="1" applyAlignment="1">
      <alignment horizontal="center" vertical="center" wrapText="1"/>
    </xf>
    <xf numFmtId="166" fontId="22" fillId="8" borderId="0" xfId="33" applyNumberFormat="1" applyFont="1" applyFill="1" applyAlignment="1">
      <alignment horizontal="center" vertical="center" wrapText="1"/>
    </xf>
    <xf numFmtId="0" fontId="19" fillId="9" borderId="6" xfId="33" applyFont="1" applyFill="1" applyBorder="1" applyAlignment="1">
      <alignment horizontal="center" vertical="center" wrapText="1"/>
    </xf>
    <xf numFmtId="0" fontId="19" fillId="9" borderId="8" xfId="33" applyFont="1" applyFill="1" applyBorder="1" applyAlignment="1">
      <alignment horizontal="center" vertical="center" wrapText="1"/>
    </xf>
    <xf numFmtId="0" fontId="19" fillId="9" borderId="7" xfId="33" applyFont="1" applyFill="1" applyBorder="1" applyAlignment="1">
      <alignment horizontal="center" vertical="center" wrapText="1"/>
    </xf>
  </cellXfs>
  <cellStyles count="36">
    <cellStyle name="Comma" xfId="32" builtinId="3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  <cellStyle name="Normal 136" xfId="34" xr:uid="{BA49C07F-3742-44B5-920A-ED5835C1BFAB}"/>
    <cellStyle name="Normal 2 10" xfId="33" xr:uid="{41FF6014-77C6-42A2-8E4F-A8FB905B5B42}"/>
    <cellStyle name="Percent" xfId="31" builtinId="5"/>
    <cellStyle name="Percent 2" xfId="35" xr:uid="{A4914C4B-EF4A-4F05-98D2-1A2F416B7EE4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w Montford" id="{05CAD19F-E5FA-4964-B1F6-9977C2C92FAE}" userId="3099bbcd5b87c8cd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G5" dT="2020-09-16T14:08:25.30" personId="{05CAD19F-E5FA-4964-B1F6-9977C2C92FAE}" id="{41E3A80E-4B39-4E55-9F09-1E870825F3DC}">
    <text>Average of up to first three full years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O2" dT="2020-12-23T16:25:12.10" personId="{05CAD19F-E5FA-4964-B1F6-9977C2C92FAE}" id="{F5CF6446-6182-406D-AEEB-AAF87BBA649E}">
    <text>Used to infil future years. Where we have accounts opex data, the Hughes growth rate is applied to estimate future years. Where we do not, the whole model is used.</text>
  </threadedComment>
  <threadedComment ref="X3" dT="2020-12-23T16:25:42.26" personId="{05CAD19F-E5FA-4964-B1F6-9977C2C92FAE}" id="{1897BBEB-73AE-4572-941F-F8CD0D81D16C}">
    <text>Just tests for existence of accounts data for capex. If none, uses announced cost instead.</text>
  </threadedComment>
  <threadedComment ref="U10" dT="2020-12-11T09:26:29.28" personId="{05CAD19F-E5FA-4964-B1F6-9977C2C92FAE}" id="{29D05670-CE2B-4F4E-9D08-7D56056F5E4F}">
    <text>Best fit line through MAX  CF by distance</text>
  </threadedComment>
  <threadedComment ref="T35" dT="2021-04-17T10:11:40.75" personId="{05CAD19F-E5FA-4964-B1F6-9977C2C92FAE}" id="{83395CDC-1773-4D0B-A40F-0BE7896D2450}">
    <text>For when we have no data</text>
  </threadedComment>
  <threadedComment ref="W35" dT="2021-04-17T10:12:58.30" personId="{05CAD19F-E5FA-4964-B1F6-9977C2C92FAE}" id="{305A297D-C323-4879-877E-8F43C492EB32}">
    <text>If we have data use it, otherwise choose modelled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G1048518"/>
  <sheetViews>
    <sheetView tabSelected="1" zoomScale="115" zoomScaleNormal="11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6" sqref="A26"/>
    </sheetView>
  </sheetViews>
  <sheetFormatPr defaultColWidth="11" defaultRowHeight="15" outlineLevelCol="1" x14ac:dyDescent="0.25"/>
  <cols>
    <col min="1" max="1" width="34.25" style="96" customWidth="1"/>
    <col min="2" max="2" width="7.25" style="96" bestFit="1" customWidth="1"/>
    <col min="3" max="3" width="6" style="96" customWidth="1"/>
    <col min="4" max="4" width="9.625" style="97" customWidth="1" outlineLevel="1"/>
    <col min="5" max="5" width="7.25" style="97" customWidth="1" outlineLevel="1"/>
    <col min="6" max="6" width="5" style="97" customWidth="1" outlineLevel="1"/>
    <col min="7" max="8" width="5.375" style="97" customWidth="1" outlineLevel="1"/>
    <col min="9" max="9" width="6.125" style="98" customWidth="1" outlineLevel="1"/>
    <col min="10" max="12" width="7.25" style="98" customWidth="1" outlineLevel="1"/>
    <col min="13" max="13" width="4.5" style="98" customWidth="1" outlineLevel="1"/>
    <col min="14" max="14" width="7.25" style="98" customWidth="1" outlineLevel="1"/>
    <col min="15" max="16" width="7.25" style="99" customWidth="1" outlineLevel="1"/>
    <col min="17" max="17" width="9.625" style="99" customWidth="1"/>
    <col min="18" max="18" width="9.625" style="99" customWidth="1" outlineLevel="1"/>
    <col min="19" max="24" width="6.25" style="100" customWidth="1" outlineLevel="1"/>
    <col min="25" max="25" width="7.75" style="100" customWidth="1" outlineLevel="1"/>
    <col min="26" max="27" width="6.25" style="100" customWidth="1" outlineLevel="1"/>
    <col min="28" max="28" width="7.25" style="100" customWidth="1" outlineLevel="1"/>
    <col min="29" max="29" width="6.25" style="101" customWidth="1" outlineLevel="1"/>
    <col min="30" max="30" width="10.625" style="100" customWidth="1" outlineLevel="1"/>
    <col min="31" max="31" width="7.25" style="96" bestFit="1" customWidth="1"/>
    <col min="32" max="32" width="10.25" style="125" bestFit="1" customWidth="1"/>
    <col min="33" max="33" width="8.375" style="126" bestFit="1" customWidth="1"/>
    <col min="34" max="34" width="6.125" style="126" customWidth="1"/>
    <col min="35" max="35" width="7.25" style="126" bestFit="1" customWidth="1"/>
    <col min="36" max="36" width="8.5" style="125" bestFit="1" customWidth="1"/>
    <col min="37" max="37" width="4.875" style="102" customWidth="1"/>
    <col min="38" max="38" width="7.25" style="103" bestFit="1" customWidth="1"/>
    <col min="39" max="39" width="9.25" style="102" bestFit="1" customWidth="1"/>
    <col min="40" max="40" width="7.5" style="104" customWidth="1"/>
    <col min="41" max="43" width="6.25" style="96" hidden="1" customWidth="1" outlineLevel="1"/>
    <col min="44" max="44" width="7.25" style="96" hidden="1" customWidth="1" outlineLevel="1"/>
    <col min="45" max="45" width="6.25" style="96" hidden="1" customWidth="1" outlineLevel="1"/>
    <col min="46" max="46" width="5.75" style="130" customWidth="1" collapsed="1"/>
    <col min="47" max="48" width="6.25" style="96" customWidth="1"/>
    <col min="49" max="51" width="6.25" style="100" customWidth="1"/>
    <col min="52" max="53" width="6.25" style="96" customWidth="1"/>
    <col min="54" max="54" width="7.25" style="96" bestFit="1" customWidth="1"/>
    <col min="55" max="58" width="11" style="96"/>
    <col min="59" max="59" width="11" style="106"/>
    <col min="60" max="16384" width="11" style="96"/>
  </cols>
  <sheetData>
    <row r="1" spans="1:59" x14ac:dyDescent="0.25">
      <c r="A1" s="128" t="s">
        <v>43</v>
      </c>
      <c r="B1" s="128"/>
      <c r="C1" s="125">
        <f>GWPF!L9</f>
        <v>224.24982038612092</v>
      </c>
      <c r="AW1" s="99">
        <f>GWPF!L6</f>
        <v>169.46324689831772</v>
      </c>
      <c r="AX1" s="99">
        <f>GWPF!L7</f>
        <v>54.786573487803182</v>
      </c>
      <c r="AY1" s="99">
        <f>GWPF!L9</f>
        <v>224.24982038612092</v>
      </c>
      <c r="AZ1" s="184">
        <f>GWPF!U10</f>
        <v>0.46</v>
      </c>
      <c r="BA1" s="185" t="s">
        <v>192</v>
      </c>
    </row>
    <row r="2" spans="1:59" x14ac:dyDescent="0.25">
      <c r="AE2" s="96">
        <v>22</v>
      </c>
      <c r="AN2" s="104" t="s">
        <v>64</v>
      </c>
      <c r="AW2" s="100" t="s">
        <v>129</v>
      </c>
      <c r="AX2" s="100" t="s">
        <v>126</v>
      </c>
      <c r="AY2" s="100" t="s">
        <v>77</v>
      </c>
    </row>
    <row r="3" spans="1:59" x14ac:dyDescent="0.25">
      <c r="AN3" s="104">
        <v>35</v>
      </c>
      <c r="AW3" s="100" cm="1">
        <f t="array" ref="AW3">IF(INDEX(_xlnm.Database,MATCH($A$1,Database!$A$5:$A$6,FALSE)-1,MATCH("Strike price 2012",Database!$A$5:$BC$5,FALSE))="RO",20,15)</f>
        <v>20</v>
      </c>
      <c r="AX3" s="100" t="s">
        <v>136</v>
      </c>
      <c r="BC3" s="96" t="str">
        <f>IF(SUM(AW1:AX1)&lt;&gt;AY1,"!!!","")</f>
        <v/>
      </c>
    </row>
    <row r="4" spans="1:59" x14ac:dyDescent="0.25">
      <c r="Y4" s="100">
        <v>1.29</v>
      </c>
      <c r="AM4" s="169">
        <v>0.48</v>
      </c>
      <c r="AO4" s="96" t="s">
        <v>71</v>
      </c>
    </row>
    <row r="5" spans="1:59" s="107" customFormat="1" ht="79.5" customHeight="1" x14ac:dyDescent="0.25">
      <c r="A5" s="108" t="s">
        <v>0</v>
      </c>
      <c r="B5" s="171" t="s">
        <v>188</v>
      </c>
      <c r="C5" s="108" t="s">
        <v>21</v>
      </c>
      <c r="D5" s="109" t="s">
        <v>2</v>
      </c>
      <c r="E5" s="165" t="s">
        <v>177</v>
      </c>
      <c r="F5" s="109" t="s">
        <v>49</v>
      </c>
      <c r="G5" s="109" t="s">
        <v>18</v>
      </c>
      <c r="H5" s="109" t="s">
        <v>17</v>
      </c>
      <c r="I5" s="110" t="s">
        <v>60</v>
      </c>
      <c r="J5" s="110" t="s">
        <v>16</v>
      </c>
      <c r="K5" s="110" t="s">
        <v>67</v>
      </c>
      <c r="L5" s="167" t="s">
        <v>178</v>
      </c>
      <c r="M5" s="110" t="s">
        <v>1</v>
      </c>
      <c r="N5" s="110" t="s">
        <v>22</v>
      </c>
      <c r="O5" s="111" t="s">
        <v>144</v>
      </c>
      <c r="P5" s="182" t="s">
        <v>190</v>
      </c>
      <c r="Q5" s="111" t="s">
        <v>19</v>
      </c>
      <c r="R5" s="111" t="s">
        <v>161</v>
      </c>
      <c r="S5" s="112" t="s">
        <v>139</v>
      </c>
      <c r="T5" s="112" t="s">
        <v>141</v>
      </c>
      <c r="U5" s="112" t="s">
        <v>140</v>
      </c>
      <c r="V5" s="133" t="s">
        <v>169</v>
      </c>
      <c r="W5" s="133" t="s">
        <v>170</v>
      </c>
      <c r="X5" s="112" t="s">
        <v>165</v>
      </c>
      <c r="Y5" s="112" t="s">
        <v>166</v>
      </c>
      <c r="Z5" s="112" t="s">
        <v>156</v>
      </c>
      <c r="AA5" s="112" t="s">
        <v>58</v>
      </c>
      <c r="AB5" s="112" t="s">
        <v>142</v>
      </c>
      <c r="AC5" s="113" t="s">
        <v>59</v>
      </c>
      <c r="AD5" s="112" t="s">
        <v>160</v>
      </c>
      <c r="AE5" s="108" t="s">
        <v>63</v>
      </c>
      <c r="AF5" s="127" t="s">
        <v>24</v>
      </c>
      <c r="AG5" s="127" t="s">
        <v>127</v>
      </c>
      <c r="AH5" s="127" t="s">
        <v>154</v>
      </c>
      <c r="AI5" s="127" t="s">
        <v>182</v>
      </c>
      <c r="AJ5" s="127" t="s">
        <v>48</v>
      </c>
      <c r="AK5" s="114" t="s">
        <v>61</v>
      </c>
      <c r="AL5" s="115" t="s">
        <v>62</v>
      </c>
      <c r="AM5" s="168" t="s">
        <v>181</v>
      </c>
      <c r="AN5" s="115" t="s">
        <v>65</v>
      </c>
      <c r="AO5" s="108" t="s">
        <v>72</v>
      </c>
      <c r="AP5" s="108" t="s">
        <v>73</v>
      </c>
      <c r="AQ5" s="108" t="s">
        <v>74</v>
      </c>
      <c r="AR5" s="108" t="s">
        <v>75</v>
      </c>
      <c r="AS5" s="108" t="s">
        <v>76</v>
      </c>
      <c r="AT5" s="131" t="s">
        <v>132</v>
      </c>
      <c r="AU5" s="108" t="s">
        <v>70</v>
      </c>
      <c r="AV5" s="108" t="s">
        <v>167</v>
      </c>
      <c r="AW5" s="112" t="s">
        <v>159</v>
      </c>
      <c r="AX5" s="112" t="s">
        <v>99</v>
      </c>
      <c r="AY5" s="112" t="s">
        <v>158</v>
      </c>
      <c r="AZ5" s="136" t="s">
        <v>174</v>
      </c>
      <c r="BA5" s="136" t="s">
        <v>173</v>
      </c>
      <c r="BB5" s="136" t="s">
        <v>175</v>
      </c>
      <c r="BC5" s="108" t="s">
        <v>20</v>
      </c>
      <c r="BG5" s="116"/>
    </row>
    <row r="6" spans="1:59" x14ac:dyDescent="0.25">
      <c r="A6" s="128" t="s">
        <v>43</v>
      </c>
      <c r="B6" s="172" t="s">
        <v>189</v>
      </c>
      <c r="C6" s="96">
        <v>2017</v>
      </c>
      <c r="D6" s="97" t="s">
        <v>3</v>
      </c>
      <c r="E6" s="166">
        <v>57.483333333333334</v>
      </c>
      <c r="F6" s="97">
        <v>15</v>
      </c>
      <c r="G6" s="117">
        <v>25</v>
      </c>
      <c r="H6" s="117">
        <v>120</v>
      </c>
      <c r="I6" s="118"/>
      <c r="J6" s="151">
        <v>30</v>
      </c>
      <c r="K6" s="118">
        <f>J6/M6</f>
        <v>5</v>
      </c>
      <c r="L6" s="118">
        <f t="shared" ref="L6" ca="1" si="0">AF6/F6</f>
        <v>9004.2666666666664</v>
      </c>
      <c r="M6" s="118">
        <v>6</v>
      </c>
      <c r="N6" s="118">
        <v>154</v>
      </c>
      <c r="O6" s="99">
        <f>_xlfn.MAXIFS(Financials!B:B,Financials!A:A,"="&amp;A6)</f>
        <v>2020</v>
      </c>
      <c r="P6" s="99">
        <f>_xlfn.MAXIFS(CFs!C:C,CFs!A:A,"="&amp;A6)</f>
        <v>2021</v>
      </c>
      <c r="Q6" s="99">
        <v>200</v>
      </c>
      <c r="S6" s="119">
        <f t="shared" ref="S6" si="1">Q6/J6</f>
        <v>6.666666666666667</v>
      </c>
      <c r="T6" s="120">
        <v>264.7</v>
      </c>
      <c r="U6" s="120">
        <v>264.7</v>
      </c>
      <c r="V6" s="119">
        <f t="shared" ref="V6" si="2">(0.0004*(C6-1999)^2)-(0.0317*(C6-1999))+1.4502</f>
        <v>1.0091999999999999</v>
      </c>
      <c r="W6" s="120">
        <f t="shared" ref="W6" si="3">U6*V6</f>
        <v>267.13523999999995</v>
      </c>
      <c r="X6" s="119">
        <f t="shared" ref="X6" si="4">W6/J6</f>
        <v>8.9045079999999981</v>
      </c>
      <c r="Y6" s="119">
        <f>X6*$Y$4</f>
        <v>11.486815319999998</v>
      </c>
      <c r="Z6" s="99">
        <f>AVERAGEIFS(Financials!J:J,Financials!A:A,"="&amp;A6)</f>
        <v>6.3999999999999995</v>
      </c>
      <c r="AA6" s="99">
        <f t="shared" ref="AA6" si="5">1000*Z6/J6</f>
        <v>213.33333333333331</v>
      </c>
      <c r="AB6" s="99">
        <f t="shared" ref="AB6" ca="1" si="6">Z6*1000000/AF6</f>
        <v>47.384943434223771</v>
      </c>
      <c r="AC6" s="101">
        <f>AVERAGEIFS(Financials!D:D,Financials!A:A,"="&amp;A6)</f>
        <v>30.066666666666666</v>
      </c>
      <c r="AD6" s="99">
        <f t="shared" ref="AD6" ca="1" si="7">1000000*AC6/AF6</f>
        <v>222.61051550869712</v>
      </c>
      <c r="AE6" s="121">
        <f t="shared" ref="AE6" si="8">IF(F6="",0,J6*AJ6/F6)</f>
        <v>1.065660071029934</v>
      </c>
      <c r="AF6" s="125">
        <f ca="1">OFFSET(CFs!$A$1,MATCH(A6,CFs!A:A,1)-1,5,1,1)</f>
        <v>135064</v>
      </c>
      <c r="AG6" s="126">
        <f>AVERAGEIFS(CFs!E:E,CFs!A:A,"="&amp;A6,CFs!B:B,"&lt;=3")</f>
        <v>0.53283003551496699</v>
      </c>
      <c r="AH6" s="126">
        <f>_xlfn.MAXIFS(CFs!E:E,CFs!A:A,"="&amp;A6)</f>
        <v>0.57054794520547947</v>
      </c>
      <c r="AI6" s="126" t="e">
        <f>AVERAGEIFS(CFs!E:E,CFs!A:A,"="&amp;A6,CFs!B:B,"&gt;"&amp;#REF!-#REF!-2)</f>
        <v>#DIV/0!</v>
      </c>
      <c r="AJ6" s="126">
        <f>AVERAGEIFS(CFs!E:E,CFs!A:A,"="&amp;A6)</f>
        <v>0.53283003551496699</v>
      </c>
      <c r="AK6" s="103" t="s">
        <v>26</v>
      </c>
      <c r="AM6" s="122"/>
      <c r="AO6" s="124"/>
      <c r="AP6" s="124"/>
      <c r="AQ6" s="124"/>
      <c r="AR6" s="124"/>
      <c r="AS6" s="124"/>
      <c r="AT6" s="105"/>
      <c r="AU6" s="123"/>
      <c r="AV6" s="123">
        <v>165</v>
      </c>
      <c r="AW6" s="99">
        <v>169.46324689831772</v>
      </c>
      <c r="AX6" s="99">
        <v>54.786573487803182</v>
      </c>
      <c r="AY6" s="99">
        <v>224.24982038612092</v>
      </c>
      <c r="AZ6" s="105">
        <f t="shared" ref="AZ6" si="9">$J6*AU6</f>
        <v>0</v>
      </c>
      <c r="BA6" s="105">
        <f t="shared" ref="BA6" si="10">$J6*AV6</f>
        <v>4950</v>
      </c>
      <c r="BB6" s="105">
        <f t="shared" ref="BB6" si="11">$J6*AY6</f>
        <v>6727.4946115836274</v>
      </c>
      <c r="BE6" s="105"/>
    </row>
    <row r="7" spans="1:59" x14ac:dyDescent="0.25">
      <c r="U7" s="120"/>
      <c r="V7" s="120"/>
      <c r="W7" s="120"/>
      <c r="X7" s="119"/>
      <c r="Y7" s="120"/>
    </row>
    <row r="8" spans="1:59" x14ac:dyDescent="0.25">
      <c r="U8" s="120"/>
      <c r="V8" s="120"/>
      <c r="W8" s="120"/>
      <c r="X8" s="120"/>
      <c r="Y8" s="120"/>
    </row>
    <row r="9" spans="1:59" x14ac:dyDescent="0.25">
      <c r="U9" s="120"/>
      <c r="V9" s="120"/>
      <c r="W9" s="120"/>
      <c r="X9" s="120"/>
      <c r="Y9" s="120"/>
    </row>
    <row r="10" spans="1:59" x14ac:dyDescent="0.25">
      <c r="U10" s="120"/>
      <c r="V10" s="120"/>
      <c r="W10" s="120"/>
      <c r="X10" s="120"/>
      <c r="Y10" s="120"/>
    </row>
    <row r="11" spans="1:59" x14ac:dyDescent="0.25">
      <c r="U11" s="120"/>
      <c r="V11" s="120"/>
      <c r="W11" s="120"/>
      <c r="X11" s="120"/>
      <c r="Y11" s="120"/>
    </row>
    <row r="12" spans="1:59" x14ac:dyDescent="0.25">
      <c r="U12" s="120"/>
      <c r="V12" s="120"/>
      <c r="W12" s="120"/>
      <c r="X12" s="120"/>
      <c r="Y12" s="120"/>
    </row>
    <row r="13" spans="1:59" x14ac:dyDescent="0.25">
      <c r="U13" s="120"/>
      <c r="V13" s="120"/>
      <c r="W13" s="120"/>
      <c r="X13" s="120"/>
      <c r="Y13" s="120"/>
    </row>
    <row r="14" spans="1:59" x14ac:dyDescent="0.25">
      <c r="U14" s="120"/>
      <c r="V14" s="120"/>
      <c r="W14" s="120"/>
      <c r="X14" s="120"/>
      <c r="Y14" s="120"/>
    </row>
    <row r="15" spans="1:59" x14ac:dyDescent="0.25">
      <c r="U15" s="120"/>
      <c r="V15" s="120"/>
      <c r="W15" s="120"/>
      <c r="X15" s="120"/>
      <c r="Y15" s="120"/>
    </row>
    <row r="16" spans="1:59" x14ac:dyDescent="0.25">
      <c r="U16" s="120"/>
      <c r="V16" s="120"/>
      <c r="W16" s="120"/>
      <c r="X16" s="120"/>
      <c r="Y16" s="120"/>
    </row>
    <row r="1048518" spans="15:16" x14ac:dyDescent="0.25">
      <c r="O1048518" s="111"/>
      <c r="P1048518" s="111"/>
    </row>
  </sheetData>
  <autoFilter ref="A5:BC6" xr:uid="{B333D8FD-B619-46A9-9A2B-D962E41CBF08}"/>
  <pageMargins left="0.7" right="0.7" top="0.75" bottom="0.75" header="0.3" footer="0.3"/>
  <pageSetup paperSize="9" scale="95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57C87-346B-4B4D-8439-795C88D5DD51}">
  <sheetPr codeName="Sheet8"/>
  <dimension ref="A1:AE1286"/>
  <sheetViews>
    <sheetView topLeftCell="L1" zoomScaleNormal="100" workbookViewId="0">
      <pane ySplit="1" topLeftCell="A2" activePane="bottomLeft" state="frozen"/>
      <selection pane="bottomLeft" activeCell="Z33" sqref="Z33"/>
    </sheetView>
  </sheetViews>
  <sheetFormatPr defaultColWidth="8" defaultRowHeight="15" x14ac:dyDescent="0.25"/>
  <cols>
    <col min="1" max="1" width="12.625" style="30" customWidth="1"/>
    <col min="2" max="2" width="13.875" style="30" customWidth="1"/>
    <col min="3" max="3" width="12" style="30" customWidth="1"/>
    <col min="4" max="4" width="12.625" style="30" customWidth="1"/>
    <col min="5" max="5" width="15.75" style="30" customWidth="1"/>
    <col min="6" max="6" width="16.375" style="30" customWidth="1"/>
    <col min="7" max="7" width="15.625" style="30" customWidth="1"/>
    <col min="8" max="8" width="13" style="30" customWidth="1"/>
    <col min="9" max="9" width="7.25" style="30" customWidth="1"/>
    <col min="10" max="11" width="13" style="30" customWidth="1"/>
    <col min="12" max="12" width="14.375" style="30" customWidth="1"/>
    <col min="13" max="13" width="22.25" style="30" customWidth="1"/>
    <col min="14" max="14" width="14.625" style="30" customWidth="1"/>
    <col min="15" max="15" width="10.125" style="30" bestFit="1" customWidth="1"/>
    <col min="16" max="16" width="11.375" style="10" customWidth="1"/>
    <col min="17" max="19" width="8" style="10"/>
    <col min="20" max="20" width="16.5" style="10" bestFit="1" customWidth="1"/>
    <col min="21" max="21" width="10.625" style="10" bestFit="1" customWidth="1"/>
    <col min="22" max="22" width="9" style="10" bestFit="1" customWidth="1"/>
    <col min="23" max="23" width="7.875" style="10" bestFit="1" customWidth="1"/>
    <col min="24" max="24" width="17.625" style="10" bestFit="1" customWidth="1"/>
    <col min="25" max="25" width="10" style="10" customWidth="1"/>
    <col min="26" max="26" width="8" style="10"/>
    <col min="27" max="27" width="16.375" style="10" customWidth="1"/>
    <col min="28" max="30" width="8" style="10"/>
    <col min="31" max="16384" width="8" style="30"/>
  </cols>
  <sheetData>
    <row r="1" spans="1:30" ht="60" customHeight="1" x14ac:dyDescent="0.5">
      <c r="A1" s="25" t="str">
        <f>Database!A1</f>
        <v>Hywind Scotland Pilot Park</v>
      </c>
      <c r="B1" s="25"/>
      <c r="C1" s="26"/>
      <c r="D1" s="27"/>
      <c r="E1" s="28"/>
      <c r="F1" s="29"/>
    </row>
    <row r="2" spans="1:30" ht="31.5" x14ac:dyDescent="0.5">
      <c r="A2" s="31"/>
      <c r="D2" s="31" t="s">
        <v>81</v>
      </c>
      <c r="E2" s="31"/>
      <c r="F2" s="31"/>
      <c r="G2" s="31"/>
      <c r="H2" s="31"/>
      <c r="I2" s="31"/>
      <c r="J2" s="31"/>
      <c r="O2" s="11" t="s">
        <v>164</v>
      </c>
    </row>
    <row r="3" spans="1:30" s="32" customFormat="1" ht="32.25" thickBot="1" x14ac:dyDescent="0.55000000000000004">
      <c r="D3" s="129"/>
      <c r="E3" s="93"/>
      <c r="F3" s="94"/>
      <c r="G3" s="77"/>
      <c r="H3" s="77" t="s">
        <v>83</v>
      </c>
      <c r="I3" s="78"/>
      <c r="J3" s="31" t="s">
        <v>82</v>
      </c>
      <c r="K3" s="31"/>
      <c r="L3" s="31"/>
      <c r="O3" s="11" t="s">
        <v>126</v>
      </c>
      <c r="P3" s="11" t="s">
        <v>83</v>
      </c>
      <c r="Q3" s="11" t="s">
        <v>155</v>
      </c>
      <c r="R3" s="11"/>
      <c r="S3" s="11"/>
      <c r="T3" s="11" t="s">
        <v>157</v>
      </c>
      <c r="U3" s="10"/>
      <c r="V3" s="11" t="s">
        <v>155</v>
      </c>
      <c r="X3" s="11" t="s">
        <v>162</v>
      </c>
      <c r="Y3" s="10"/>
      <c r="Z3" s="14"/>
      <c r="AA3" s="10"/>
      <c r="AB3" s="32" t="s">
        <v>172</v>
      </c>
      <c r="AC3" s="10"/>
      <c r="AD3" s="10"/>
    </row>
    <row r="4" spans="1:30" s="32" customFormat="1" ht="16.5" thickTop="1" x14ac:dyDescent="0.25">
      <c r="A4" s="10"/>
      <c r="B4" s="10"/>
      <c r="C4" s="10"/>
      <c r="D4" s="129"/>
      <c r="E4" s="129"/>
      <c r="F4" s="81" t="s">
        <v>16</v>
      </c>
      <c r="G4" s="79"/>
      <c r="H4" s="80" cm="1">
        <f t="array" ref="H4">INDEX(_xlnm.Database,MATCH($A$1,Database!$A$5:$A$6,FALSE)-1,MATCH(F4,Database!$A$5:$BC$5,FALSE))</f>
        <v>30</v>
      </c>
      <c r="I4" s="81" t="s">
        <v>79</v>
      </c>
      <c r="J4" s="34"/>
      <c r="K4" s="35"/>
      <c r="L4" s="35"/>
      <c r="O4" s="10" t="s">
        <v>131</v>
      </c>
      <c r="P4" s="10" cm="1">
        <f t="array" ref="P4">INDEX(_xlnm.Database,MATCH($A$1,Database!$A$5:$A$6,FALSE)-1,MATCH("Year of completion",Database!$A$5:$BC$5,FALSE))</f>
        <v>2017</v>
      </c>
      <c r="Q4" s="10"/>
      <c r="R4" s="10"/>
      <c r="S4" s="10"/>
      <c r="T4" s="32" t="s">
        <v>21</v>
      </c>
      <c r="U4" s="15" cm="1">
        <f t="array" ref="U4">INDEX(_xlnm.Database,MATCH($A$1,Database!$A$5:$A$6,FALSE)-1,MATCH(T4,Database!$A$5:$BC$5,FALSE))-2000</f>
        <v>17</v>
      </c>
      <c r="V4" s="183">
        <v>4.0018492671840301E-3</v>
      </c>
      <c r="X4" s="10" t="s">
        <v>165</v>
      </c>
      <c r="Y4" s="14" cm="1">
        <f t="array" ref="Y4">INDEX(_xlnm.Database,MATCH($A$1,Database!$A$5:$A$6,FALSE)-1,MATCH(X4,Database!$A$5:$BC$5,FALSE))</f>
        <v>8.9045079999999981</v>
      </c>
      <c r="Z4" s="132"/>
      <c r="AA4" s="10"/>
      <c r="AB4" s="32">
        <v>2000</v>
      </c>
      <c r="AC4" s="21">
        <v>7.0000000000000007E-2</v>
      </c>
      <c r="AD4" s="10"/>
    </row>
    <row r="5" spans="1:30" s="32" customFormat="1" ht="15.75" x14ac:dyDescent="0.25">
      <c r="A5" s="10"/>
      <c r="B5" s="10"/>
      <c r="C5" s="10"/>
      <c r="D5" s="129"/>
      <c r="E5" s="129"/>
      <c r="F5" s="81"/>
      <c r="G5" s="79"/>
      <c r="H5" s="79"/>
      <c r="I5" s="81"/>
      <c r="J5" s="36" t="s">
        <v>84</v>
      </c>
      <c r="K5" s="37" t="s">
        <v>80</v>
      </c>
      <c r="L5" s="38" t="s">
        <v>78</v>
      </c>
      <c r="O5" s="10" t="s">
        <v>146</v>
      </c>
      <c r="P5" s="21">
        <v>5.7415399999999998E-2</v>
      </c>
      <c r="Q5" s="10"/>
      <c r="R5" s="10"/>
      <c r="S5" s="10"/>
      <c r="T5" s="32" t="s">
        <v>177</v>
      </c>
      <c r="U5" s="14" cm="1">
        <f t="array" ref="U5">INDEX(_xlnm.Database,MATCH($A$1,Database!$A$5:$A$6,FALSE)-1,MATCH(T5,Database!$A$5:$BC$5,FALSE))-52.5</f>
        <v>4.9833333333333343</v>
      </c>
      <c r="V5" s="183">
        <v>5.2836566207569418E-3</v>
      </c>
      <c r="X5" s="10" t="s">
        <v>139</v>
      </c>
      <c r="Y5" s="14" cm="1">
        <f t="array" ref="Y5">INDEX(_xlnm.Database,MATCH($A$1,Database!$A$5:$A$6,FALSE)-1,MATCH(X5,Database!$A$5:$BC$5,FALSE))</f>
        <v>6.666666666666667</v>
      </c>
      <c r="Z5" s="132"/>
      <c r="AA5" s="10"/>
      <c r="AB5" s="32">
        <v>2001</v>
      </c>
      <c r="AC5" s="21">
        <v>7.0000000000000007E-2</v>
      </c>
      <c r="AD5" s="10"/>
    </row>
    <row r="6" spans="1:30" s="32" customFormat="1" ht="15.75" x14ac:dyDescent="0.25">
      <c r="D6" s="129"/>
      <c r="E6" s="129"/>
      <c r="F6" s="81" t="s">
        <v>86</v>
      </c>
      <c r="G6" s="79"/>
      <c r="H6" s="82">
        <f>+H4*(1-H5/100)</f>
        <v>30</v>
      </c>
      <c r="I6" s="81" t="s">
        <v>87</v>
      </c>
      <c r="J6" s="40" t="s">
        <v>85</v>
      </c>
      <c r="K6" s="164">
        <f>SUM(L34:L35)</f>
        <v>465.92878857028597</v>
      </c>
      <c r="L6" s="41">
        <f>1000000*SUM(K26:K35)/E66</f>
        <v>169.46324689831772</v>
      </c>
      <c r="O6" s="10" t="s">
        <v>17</v>
      </c>
      <c r="P6" s="10" cm="1">
        <f t="array" ref="P6">INDEX(_xlnm.Database,MATCH($A$1,Database!$A$5:$A$6,FALSE)-1,MATCH(O6,Database!$A$5:$BC$5,FALSE))</f>
        <v>120</v>
      </c>
      <c r="Q6" s="14">
        <f>IF(P6&gt;50,0.51,VLOOKUP(10*ROUNDDOWN(P6/10,0),O12:P18,2, FALSE))</f>
        <v>0.51</v>
      </c>
      <c r="R6" s="14"/>
      <c r="S6" s="10"/>
      <c r="T6" s="10" t="s">
        <v>18</v>
      </c>
      <c r="U6" s="15" cm="1">
        <f t="array" ref="U6">INDEX(_xlnm.Database,MATCH($A$1,Database!$A$5:$A$6,FALSE)-1,MATCH(T6,Database!$A$5:$BC$5,FALSE))</f>
        <v>25</v>
      </c>
      <c r="V6" s="183">
        <v>2.9366773649396115E-3</v>
      </c>
      <c r="X6" s="10" t="s">
        <v>135</v>
      </c>
      <c r="Y6" s="12">
        <f>IF(Y4=0,Y5,Y4)</f>
        <v>8.9045079999999981</v>
      </c>
      <c r="Z6" s="132"/>
      <c r="AA6" s="10"/>
      <c r="AB6" s="32">
        <v>2002</v>
      </c>
      <c r="AC6" s="21">
        <v>7.0000000000000007E-2</v>
      </c>
      <c r="AD6" s="10"/>
    </row>
    <row r="7" spans="1:30" s="32" customFormat="1" ht="15.75" x14ac:dyDescent="0.25">
      <c r="A7" s="10"/>
      <c r="B7" s="10"/>
      <c r="C7" s="10"/>
      <c r="D7" s="95"/>
      <c r="E7" s="129"/>
      <c r="F7" s="81" t="s">
        <v>165</v>
      </c>
      <c r="G7" s="83"/>
      <c r="H7" s="84" cm="1">
        <f t="array" ref="H7">INDEX(_xlnm.Database,MATCH($A$1,Database!$A$5:$A$6,FALSE)-1,MATCH(F7,Database!$A$5:$BC$5,FALSE))</f>
        <v>8.9045079999999981</v>
      </c>
      <c r="I7" s="81" t="s">
        <v>89</v>
      </c>
      <c r="J7" s="42" t="s">
        <v>88</v>
      </c>
      <c r="K7" s="41">
        <f>K66</f>
        <v>93.45938524987136</v>
      </c>
      <c r="L7" s="41">
        <f>1000000*K66/E66</f>
        <v>54.786573487803182</v>
      </c>
      <c r="O7" s="10" t="s">
        <v>68</v>
      </c>
      <c r="P7" s="10"/>
      <c r="Q7" s="14">
        <v>0.27600000000000002</v>
      </c>
      <c r="R7" s="14"/>
      <c r="S7" s="10"/>
      <c r="T7" s="32" t="s">
        <v>1</v>
      </c>
      <c r="U7" s="14" cm="1">
        <f t="array" ref="U7">INDEX(_xlnm.Database,MATCH($A$1,Database!$A$5:$A$6,FALSE)-1,MATCH(T7,Database!$A$5:$BC$5,FALSE))</f>
        <v>6</v>
      </c>
      <c r="V7" s="183">
        <v>-3.0695335912659657E-4</v>
      </c>
      <c r="X7" s="10"/>
      <c r="Y7" s="10"/>
      <c r="Z7" s="10"/>
      <c r="AA7" s="10"/>
      <c r="AB7" s="32">
        <v>2003</v>
      </c>
      <c r="AC7" s="21">
        <v>7.0000000000000007E-2</v>
      </c>
      <c r="AD7" s="10"/>
    </row>
    <row r="8" spans="1:30" s="32" customFormat="1" ht="15.75" x14ac:dyDescent="0.25">
      <c r="A8" s="10"/>
      <c r="B8" s="10"/>
      <c r="C8" s="10"/>
      <c r="D8" s="129"/>
      <c r="E8" s="129"/>
      <c r="F8" s="81" t="s">
        <v>90</v>
      </c>
      <c r="G8" s="79"/>
      <c r="H8" s="92">
        <f>H4*H7</f>
        <v>267.13523999999995</v>
      </c>
      <c r="I8" s="81" t="s">
        <v>80</v>
      </c>
      <c r="J8" s="36"/>
      <c r="K8" s="36"/>
      <c r="L8" s="43"/>
      <c r="O8" s="10" t="s">
        <v>76</v>
      </c>
      <c r="P8" s="10"/>
      <c r="Q8" s="14">
        <v>3.3822000000000001</v>
      </c>
      <c r="R8" s="14"/>
      <c r="S8" s="10"/>
      <c r="T8" s="32" t="s">
        <v>22</v>
      </c>
      <c r="U8" s="14" cm="1">
        <f t="array" ref="U8">INDEX(_xlnm.Database,MATCH($A$1,Database!$A$5:$A$6,FALSE)-1,MATCH(T8,Database!$A$5:$BC$5,FALSE))</f>
        <v>154</v>
      </c>
      <c r="V8" s="183">
        <v>4.913304473699242E-4</v>
      </c>
      <c r="X8" s="10"/>
      <c r="Y8" s="10"/>
      <c r="Z8" s="10"/>
      <c r="AA8" s="10"/>
      <c r="AB8" s="32">
        <v>2004</v>
      </c>
      <c r="AC8" s="21">
        <v>7.0000000000000007E-2</v>
      </c>
      <c r="AD8" s="10"/>
    </row>
    <row r="9" spans="1:30" s="32" customFormat="1" ht="16.5" thickBot="1" x14ac:dyDescent="0.3">
      <c r="A9" s="10"/>
      <c r="B9" s="10"/>
      <c r="C9" s="24"/>
      <c r="D9" s="129"/>
      <c r="E9" s="129"/>
      <c r="F9" s="81"/>
      <c r="G9" s="79"/>
      <c r="H9" s="77"/>
      <c r="I9" s="81"/>
      <c r="J9" s="44" t="s">
        <v>91</v>
      </c>
      <c r="K9" s="44"/>
      <c r="L9" s="45">
        <f>SUM(L6:L8)</f>
        <v>224.24982038612092</v>
      </c>
      <c r="O9" s="15"/>
      <c r="P9" s="10"/>
      <c r="Q9" s="14">
        <f>SUM(Q6:Q8)</f>
        <v>4.1682000000000006</v>
      </c>
      <c r="R9" s="14"/>
      <c r="S9" s="10"/>
      <c r="T9" s="10" t="s">
        <v>76</v>
      </c>
      <c r="U9" s="13"/>
      <c r="V9" s="150">
        <v>0.23067929698990311</v>
      </c>
      <c r="X9" s="10"/>
      <c r="Y9" s="10"/>
      <c r="Z9" s="10"/>
      <c r="AA9" s="10"/>
      <c r="AB9" s="32">
        <v>2005</v>
      </c>
      <c r="AC9" s="21">
        <v>7.0000000000000007E-2</v>
      </c>
      <c r="AD9" s="10"/>
    </row>
    <row r="10" spans="1:30" s="32" customFormat="1" ht="15.75" x14ac:dyDescent="0.25">
      <c r="A10" s="10"/>
      <c r="B10" s="10"/>
      <c r="C10" s="14"/>
      <c r="D10" s="129"/>
      <c r="E10" s="129"/>
      <c r="F10" s="81"/>
      <c r="G10" s="79"/>
      <c r="H10" s="81"/>
      <c r="I10" s="81"/>
      <c r="S10" s="10"/>
      <c r="T10" s="10" t="s">
        <v>153</v>
      </c>
      <c r="U10" s="13">
        <v>0.46</v>
      </c>
      <c r="V10" s="10"/>
      <c r="W10" s="10"/>
      <c r="X10" s="10"/>
      <c r="Y10" s="10"/>
      <c r="Z10" s="10"/>
      <c r="AA10" s="10"/>
      <c r="AB10" s="32">
        <v>2006</v>
      </c>
      <c r="AC10" s="21">
        <v>7.0000000000000007E-2</v>
      </c>
      <c r="AD10" s="10"/>
    </row>
    <row r="11" spans="1:30" s="32" customFormat="1" ht="15.75" x14ac:dyDescent="0.25">
      <c r="A11" s="10"/>
      <c r="B11" s="10"/>
      <c r="C11" s="10"/>
      <c r="D11" s="129"/>
      <c r="E11" s="129"/>
      <c r="F11" s="81"/>
      <c r="G11" s="86"/>
      <c r="H11" s="81"/>
      <c r="I11" s="81"/>
      <c r="O11" s="11" t="s">
        <v>134</v>
      </c>
      <c r="P11" s="10"/>
      <c r="S11" s="10"/>
      <c r="T11" s="10"/>
      <c r="W11" s="10"/>
      <c r="X11" s="11"/>
      <c r="Y11" s="10"/>
      <c r="Z11" s="10"/>
      <c r="AA11" s="10"/>
      <c r="AB11" s="32">
        <v>2007</v>
      </c>
      <c r="AC11" s="21">
        <v>7.0000000000000007E-2</v>
      </c>
      <c r="AD11" s="10"/>
    </row>
    <row r="12" spans="1:30" s="32" customFormat="1" ht="15.75" x14ac:dyDescent="0.25">
      <c r="A12" s="10"/>
      <c r="B12" s="10"/>
      <c r="C12" s="10"/>
      <c r="D12" s="129"/>
      <c r="E12" s="129"/>
      <c r="F12" s="81"/>
      <c r="G12" s="79"/>
      <c r="H12" s="81"/>
      <c r="I12" s="81"/>
      <c r="L12" s="39"/>
      <c r="O12" s="10">
        <v>0</v>
      </c>
      <c r="P12" s="14">
        <v>0.34989999999999999</v>
      </c>
      <c r="S12" s="10"/>
      <c r="T12" s="11"/>
      <c r="U12" s="10"/>
      <c r="V12" s="10"/>
      <c r="W12" s="10"/>
      <c r="X12" s="10"/>
      <c r="Y12" s="17"/>
      <c r="Z12" s="10"/>
      <c r="AA12" s="10"/>
      <c r="AB12" s="32">
        <v>2008</v>
      </c>
      <c r="AC12" s="21">
        <v>7.0000000000000007E-2</v>
      </c>
      <c r="AD12" s="10"/>
    </row>
    <row r="13" spans="1:30" s="32" customFormat="1" ht="15.75" x14ac:dyDescent="0.25">
      <c r="A13" s="10"/>
      <c r="B13" s="10"/>
      <c r="C13" s="10"/>
      <c r="D13" s="129"/>
      <c r="E13" s="129"/>
      <c r="F13" s="81" t="s">
        <v>93</v>
      </c>
      <c r="G13" s="79"/>
      <c r="H13" s="87">
        <f>VLOOKUP(P4,Wacc,2,FALSE)</f>
        <v>5.0400000000000028E-2</v>
      </c>
      <c r="I13" s="81" t="s">
        <v>92</v>
      </c>
      <c r="L13" s="39"/>
      <c r="O13" s="10">
        <v>10</v>
      </c>
      <c r="P13" s="14">
        <v>0.34989999999999999</v>
      </c>
      <c r="S13" s="10"/>
      <c r="W13" s="10"/>
      <c r="X13" s="10"/>
      <c r="Y13" s="13"/>
      <c r="Z13" s="10"/>
      <c r="AA13" s="10"/>
      <c r="AB13" s="32">
        <v>2009</v>
      </c>
      <c r="AC13" s="21">
        <v>7.0000000000000007E-2</v>
      </c>
      <c r="AD13" s="10"/>
    </row>
    <row r="14" spans="1:30" s="32" customFormat="1" ht="30" x14ac:dyDescent="0.25">
      <c r="A14" s="10"/>
      <c r="B14" s="10"/>
      <c r="C14" s="10"/>
      <c r="D14" s="82" t="s">
        <v>138</v>
      </c>
      <c r="E14" s="129"/>
      <c r="F14" s="129"/>
      <c r="G14" s="79"/>
      <c r="H14" s="79"/>
      <c r="I14" s="81"/>
      <c r="O14" s="10">
        <v>20</v>
      </c>
      <c r="P14" s="14">
        <v>0.32840000000000003</v>
      </c>
      <c r="S14" s="10"/>
      <c r="W14" s="10"/>
      <c r="X14" s="10"/>
      <c r="Y14" s="10"/>
      <c r="Z14" s="10"/>
      <c r="AA14" s="10"/>
      <c r="AB14" s="32">
        <v>2010</v>
      </c>
      <c r="AC14" s="21">
        <v>7.0000000000000007E-2</v>
      </c>
      <c r="AD14" s="10"/>
    </row>
    <row r="15" spans="1:30" s="32" customFormat="1" ht="15.75" x14ac:dyDescent="0.25">
      <c r="A15" s="10"/>
      <c r="B15" s="10"/>
      <c r="C15" s="10"/>
      <c r="D15" s="88">
        <f>1000000*AVERAGE(G36:G64)/H4</f>
        <v>170101.10344827583</v>
      </c>
      <c r="E15" s="129"/>
      <c r="F15" s="129"/>
      <c r="G15" s="79"/>
      <c r="H15" s="89">
        <f>D15*H4/1000000</f>
        <v>5.1030331034482748</v>
      </c>
      <c r="I15" s="81" t="s">
        <v>94</v>
      </c>
      <c r="O15" s="10">
        <v>30</v>
      </c>
      <c r="P15" s="14">
        <v>0.51091149999999996</v>
      </c>
      <c r="S15" s="10"/>
      <c r="W15" s="11"/>
      <c r="Y15" s="91"/>
      <c r="Z15" s="10"/>
      <c r="AA15" s="10"/>
      <c r="AB15" s="32">
        <v>2011</v>
      </c>
      <c r="AC15" s="21">
        <f>AC14-(($AC$4-0.042)/10)</f>
        <v>6.720000000000001E-2</v>
      </c>
      <c r="AD15" s="10"/>
    </row>
    <row r="16" spans="1:30" s="32" customFormat="1" ht="15.75" x14ac:dyDescent="0.25">
      <c r="A16" s="10"/>
      <c r="B16" s="10"/>
      <c r="C16" s="10"/>
      <c r="D16" s="129" t="s">
        <v>95</v>
      </c>
      <c r="E16" s="129"/>
      <c r="F16" s="129"/>
      <c r="G16" s="79"/>
      <c r="H16" s="80">
        <f>Database!AW3</f>
        <v>20</v>
      </c>
      <c r="I16" s="81" t="s">
        <v>96</v>
      </c>
      <c r="K16" s="39"/>
      <c r="O16" s="10">
        <v>40</v>
      </c>
      <c r="P16" s="14">
        <v>0.51091149999999996</v>
      </c>
      <c r="S16" s="10"/>
      <c r="W16" s="10"/>
      <c r="AA16" s="10"/>
      <c r="AB16" s="32">
        <v>2012</v>
      </c>
      <c r="AC16" s="21">
        <f t="shared" ref="AC16:AC24" si="0">AC15-(($AC$4-0.042)/10)</f>
        <v>6.4400000000000013E-2</v>
      </c>
      <c r="AD16" s="10"/>
    </row>
    <row r="17" spans="1:30" s="32" customFormat="1" ht="15.75" x14ac:dyDescent="0.25">
      <c r="A17" s="10"/>
      <c r="B17" s="10"/>
      <c r="C17" s="10"/>
      <c r="D17" s="76"/>
      <c r="E17" s="76"/>
      <c r="F17" s="129" t="s">
        <v>97</v>
      </c>
      <c r="G17" s="79"/>
      <c r="H17" s="85">
        <v>2.1000000000000001E-2</v>
      </c>
      <c r="I17" s="81" t="s">
        <v>98</v>
      </c>
      <c r="O17" s="10">
        <v>50</v>
      </c>
      <c r="P17" s="14">
        <v>0.51091149999999996</v>
      </c>
      <c r="Q17" s="10"/>
      <c r="R17" s="10"/>
      <c r="S17" s="10"/>
      <c r="W17" s="10"/>
      <c r="X17" s="10"/>
      <c r="Y17" s="10"/>
      <c r="AA17" s="10"/>
      <c r="AB17" s="32">
        <v>2013</v>
      </c>
      <c r="AC17" s="21">
        <f t="shared" si="0"/>
        <v>6.1600000000000016E-2</v>
      </c>
      <c r="AD17" s="10"/>
    </row>
    <row r="18" spans="1:30" s="32" customFormat="1" ht="15.75" x14ac:dyDescent="0.25">
      <c r="A18" s="10"/>
      <c r="B18" s="10"/>
      <c r="C18" s="22"/>
      <c r="D18" s="129"/>
      <c r="E18" s="129"/>
      <c r="F18" s="129"/>
      <c r="G18" s="79"/>
      <c r="H18" s="90"/>
      <c r="I18" s="81"/>
      <c r="P18" s="14"/>
      <c r="Q18" s="10"/>
      <c r="R18" s="10"/>
      <c r="S18" s="10"/>
      <c r="W18" s="10"/>
      <c r="X18" s="10"/>
      <c r="Y18" s="15"/>
      <c r="AA18" s="10"/>
      <c r="AB18" s="32">
        <v>2014</v>
      </c>
      <c r="AC18" s="21">
        <f t="shared" si="0"/>
        <v>5.8800000000000019E-2</v>
      </c>
      <c r="AD18" s="10"/>
    </row>
    <row r="19" spans="1:30" s="32" customFormat="1" ht="15.75" x14ac:dyDescent="0.25">
      <c r="A19" s="10"/>
      <c r="B19" s="10"/>
      <c r="C19" s="10"/>
      <c r="P19" s="10"/>
      <c r="Q19" s="10"/>
      <c r="R19" s="10"/>
      <c r="S19" s="10"/>
      <c r="W19" s="10"/>
      <c r="X19" s="23"/>
      <c r="Y19" s="17"/>
      <c r="AA19" s="10"/>
      <c r="AB19" s="32">
        <v>2015</v>
      </c>
      <c r="AC19" s="21">
        <f t="shared" si="0"/>
        <v>5.6000000000000022E-2</v>
      </c>
      <c r="AD19" s="10"/>
    </row>
    <row r="20" spans="1:30" s="32" customFormat="1" ht="15.75" x14ac:dyDescent="0.25">
      <c r="A20" s="10"/>
      <c r="B20" s="10"/>
      <c r="C20" s="10"/>
      <c r="P20" s="10"/>
      <c r="Q20" s="10"/>
      <c r="R20" s="10"/>
      <c r="S20" s="10"/>
      <c r="U20" s="186"/>
      <c r="W20" s="10"/>
      <c r="X20" s="10"/>
      <c r="Y20" s="15"/>
      <c r="Z20" s="10"/>
      <c r="AA20" s="10"/>
      <c r="AB20" s="32">
        <v>2016</v>
      </c>
      <c r="AC20" s="21">
        <f t="shared" si="0"/>
        <v>5.3200000000000025E-2</v>
      </c>
      <c r="AD20" s="10"/>
    </row>
    <row r="21" spans="1:30" s="32" customFormat="1" ht="15.75" x14ac:dyDescent="0.25">
      <c r="A21" s="10"/>
      <c r="B21" s="10"/>
      <c r="C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32">
        <v>2017</v>
      </c>
      <c r="AC21" s="21">
        <f t="shared" si="0"/>
        <v>5.0400000000000028E-2</v>
      </c>
      <c r="AD21" s="10"/>
    </row>
    <row r="22" spans="1:30" ht="33" customHeight="1" x14ac:dyDescent="0.25">
      <c r="F22" s="32"/>
      <c r="G22" s="32"/>
      <c r="H22" s="32"/>
      <c r="I22" s="32"/>
      <c r="J22" s="32"/>
      <c r="K22" s="32"/>
      <c r="Y22" s="17"/>
      <c r="AB22" s="10">
        <v>2018</v>
      </c>
      <c r="AC22" s="21">
        <f t="shared" si="0"/>
        <v>4.7600000000000031E-2</v>
      </c>
    </row>
    <row r="23" spans="1:30" ht="33" customHeight="1" x14ac:dyDescent="0.25">
      <c r="A23" s="199" t="s">
        <v>100</v>
      </c>
      <c r="B23" s="199"/>
      <c r="C23" s="199"/>
      <c r="D23" s="199"/>
      <c r="E23" s="199"/>
      <c r="F23" s="199"/>
      <c r="G23" s="199"/>
      <c r="H23" s="199"/>
      <c r="I23" s="199"/>
      <c r="J23" s="199"/>
      <c r="K23" s="199"/>
      <c r="L23" s="199"/>
      <c r="M23" s="199"/>
      <c r="N23" s="199"/>
      <c r="AB23" s="10">
        <v>2019</v>
      </c>
      <c r="AC23" s="21">
        <f t="shared" si="0"/>
        <v>4.4800000000000034E-2</v>
      </c>
    </row>
    <row r="24" spans="1:30" ht="33" customHeight="1" x14ac:dyDescent="0.25">
      <c r="A24" s="200" t="s">
        <v>66</v>
      </c>
      <c r="B24" s="201" t="s">
        <v>101</v>
      </c>
      <c r="C24" s="201" t="s">
        <v>102</v>
      </c>
      <c r="D24" s="200" t="s">
        <v>103</v>
      </c>
      <c r="E24" s="200" t="s">
        <v>104</v>
      </c>
      <c r="F24" s="200" t="s">
        <v>105</v>
      </c>
      <c r="G24" s="200" t="s">
        <v>106</v>
      </c>
      <c r="H24" s="200"/>
      <c r="I24" s="200"/>
      <c r="J24" s="200" t="s">
        <v>108</v>
      </c>
      <c r="K24" s="200" t="s">
        <v>109</v>
      </c>
      <c r="L24" s="200" t="s">
        <v>110</v>
      </c>
      <c r="M24" s="202" t="s">
        <v>111</v>
      </c>
      <c r="N24" s="204" t="s">
        <v>112</v>
      </c>
      <c r="AB24" s="10">
        <v>2020</v>
      </c>
      <c r="AC24" s="21">
        <f t="shared" si="0"/>
        <v>4.2000000000000037E-2</v>
      </c>
    </row>
    <row r="25" spans="1:30" ht="33" customHeight="1" x14ac:dyDescent="0.25">
      <c r="A25" s="200"/>
      <c r="B25" s="201"/>
      <c r="C25" s="201"/>
      <c r="D25" s="200"/>
      <c r="E25" s="200"/>
      <c r="F25" s="200"/>
      <c r="G25" s="200"/>
      <c r="H25" s="200"/>
      <c r="I25" s="200"/>
      <c r="J25" s="200"/>
      <c r="K25" s="200"/>
      <c r="L25" s="200"/>
      <c r="M25" s="203"/>
      <c r="N25" s="204"/>
      <c r="AB25" s="10">
        <v>2021</v>
      </c>
      <c r="AC25" s="135">
        <f t="shared" ref="AC25:AC30" si="1">AC24</f>
        <v>4.2000000000000037E-2</v>
      </c>
    </row>
    <row r="26" spans="1:30" ht="33" customHeight="1" x14ac:dyDescent="0.25">
      <c r="A26" s="46">
        <v>-10</v>
      </c>
      <c r="B26" s="47">
        <f>IF(A26&lt;$H$16,1/(1+$H$13)^A26,"")</f>
        <v>1.6351105881342889</v>
      </c>
      <c r="C26" s="46"/>
      <c r="D26" s="48"/>
      <c r="E26" s="48"/>
      <c r="F26" s="49">
        <f>+B75*$H$8/100</f>
        <v>0</v>
      </c>
      <c r="G26" s="50"/>
      <c r="H26" s="50"/>
      <c r="I26" s="50"/>
      <c r="J26" s="49">
        <f t="shared" ref="J26:J34" si="2">SUM(F26:H26)</f>
        <v>0</v>
      </c>
      <c r="K26" s="49">
        <f>IF(ABS(A26)&lt;=$H$16-1,+J26*B26,"")</f>
        <v>0</v>
      </c>
      <c r="L26" s="49">
        <f>K26</f>
        <v>0</v>
      </c>
      <c r="M26" s="51">
        <f>L35-H8</f>
        <v>21.948925504343038</v>
      </c>
      <c r="N26" s="52"/>
      <c r="Q26" s="15"/>
      <c r="R26" s="15"/>
      <c r="AB26" s="10">
        <v>2022</v>
      </c>
      <c r="AC26" s="135">
        <f t="shared" si="1"/>
        <v>4.2000000000000037E-2</v>
      </c>
    </row>
    <row r="27" spans="1:30" ht="42" customHeight="1" x14ac:dyDescent="0.25">
      <c r="A27" s="46">
        <v>-9</v>
      </c>
      <c r="B27" s="47">
        <f>IF(A27&lt;$H$16,1/(1+$H$13)^A27,"")</f>
        <v>1.5566551676830629</v>
      </c>
      <c r="C27" s="46"/>
      <c r="D27" s="48"/>
      <c r="E27" s="48"/>
      <c r="F27" s="49">
        <f>+C75*$H$8/100</f>
        <v>0</v>
      </c>
      <c r="G27" s="50"/>
      <c r="H27" s="50"/>
      <c r="I27" s="50"/>
      <c r="J27" s="49">
        <f t="shared" si="2"/>
        <v>0</v>
      </c>
      <c r="K27" s="49">
        <f>IF(ABS(A27)&lt;=$H$16-1,+J27*B27,"")</f>
        <v>0</v>
      </c>
      <c r="L27" s="49">
        <f>L26+K27</f>
        <v>0</v>
      </c>
      <c r="M27" s="187" t="s">
        <v>113</v>
      </c>
      <c r="N27" s="52"/>
      <c r="AB27" s="10">
        <v>2023</v>
      </c>
      <c r="AC27" s="135">
        <f t="shared" si="1"/>
        <v>4.2000000000000037E-2</v>
      </c>
    </row>
    <row r="28" spans="1:30" ht="33" customHeight="1" x14ac:dyDescent="0.25">
      <c r="A28" s="46">
        <v>-8</v>
      </c>
      <c r="B28" s="47">
        <f>IF(A28&lt;$H$16,1/(1+$H$13)^A28,"")</f>
        <v>1.4819641733464042</v>
      </c>
      <c r="C28" s="46"/>
      <c r="D28" s="48"/>
      <c r="E28" s="48"/>
      <c r="F28" s="49">
        <f>+D75*$H$8/100</f>
        <v>0</v>
      </c>
      <c r="G28" s="50"/>
      <c r="H28" s="50"/>
      <c r="I28" s="50"/>
      <c r="J28" s="49">
        <f t="shared" si="2"/>
        <v>0</v>
      </c>
      <c r="K28" s="49">
        <f>IF(ABS(A28)&lt;=$H$16-1,+J28*B28,"")</f>
        <v>0</v>
      </c>
      <c r="L28" s="49">
        <f t="shared" ref="L28:L35" si="3">L27+K28</f>
        <v>0</v>
      </c>
      <c r="M28" s="188"/>
      <c r="N28" s="52"/>
      <c r="AB28" s="10">
        <v>2024</v>
      </c>
      <c r="AC28" s="135">
        <f t="shared" si="1"/>
        <v>4.2000000000000037E-2</v>
      </c>
    </row>
    <row r="29" spans="1:30" ht="33" customHeight="1" x14ac:dyDescent="0.25">
      <c r="A29" s="46">
        <v>-7</v>
      </c>
      <c r="B29" s="47">
        <f>IF(A29&lt;$H$16,1/(1+$H$13)^A29,"")</f>
        <v>1.4108569814798211</v>
      </c>
      <c r="C29" s="46"/>
      <c r="D29" s="48"/>
      <c r="E29" s="48"/>
      <c r="F29" s="49">
        <f>+E75*$H$8/100</f>
        <v>0</v>
      </c>
      <c r="G29" s="50"/>
      <c r="H29" s="50"/>
      <c r="I29" s="50"/>
      <c r="J29" s="49">
        <f t="shared" si="2"/>
        <v>0</v>
      </c>
      <c r="K29" s="49">
        <f>IF(ABS(A29)&lt;=$H$16-1,+J29*B29,"")</f>
        <v>0</v>
      </c>
      <c r="L29" s="49">
        <f t="shared" si="3"/>
        <v>0</v>
      </c>
      <c r="M29" s="189"/>
      <c r="N29" s="52"/>
      <c r="S29" s="18"/>
      <c r="X29" s="19"/>
      <c r="AB29" s="10">
        <v>2025</v>
      </c>
      <c r="AC29" s="135">
        <f t="shared" si="1"/>
        <v>4.2000000000000037E-2</v>
      </c>
    </row>
    <row r="30" spans="1:30" ht="33" customHeight="1" x14ac:dyDescent="0.25">
      <c r="A30" s="46">
        <v>-6</v>
      </c>
      <c r="B30" s="47">
        <f>IF(A30&lt;$H$16,1/(1+$H$13)^A30,"")</f>
        <v>1.3431616350721831</v>
      </c>
      <c r="C30" s="46"/>
      <c r="D30" s="48"/>
      <c r="E30" s="48"/>
      <c r="F30" s="49">
        <f>+F75*$H$8/100</f>
        <v>0</v>
      </c>
      <c r="G30" s="50"/>
      <c r="H30" s="50"/>
      <c r="I30" s="50"/>
      <c r="J30" s="49">
        <f t="shared" si="2"/>
        <v>0</v>
      </c>
      <c r="K30" s="49">
        <f>IF(ABS(A30)&lt;=$H$16-1,+J30*B30,"")</f>
        <v>0</v>
      </c>
      <c r="L30" s="49">
        <f t="shared" si="3"/>
        <v>0</v>
      </c>
      <c r="M30" s="51">
        <f>L35*H11</f>
        <v>0</v>
      </c>
      <c r="N30" s="52"/>
      <c r="X30" s="19"/>
      <c r="AB30" s="10">
        <v>2026</v>
      </c>
      <c r="AC30" s="135">
        <f t="shared" si="1"/>
        <v>4.2000000000000037E-2</v>
      </c>
    </row>
    <row r="31" spans="1:30" ht="33" customHeight="1" x14ac:dyDescent="0.25">
      <c r="A31" s="46">
        <v>-5</v>
      </c>
      <c r="B31" s="47">
        <f>IF(A31&lt;$H$16,1/(1+$H$13)^A31,"")</f>
        <v>1.2787144279057341</v>
      </c>
      <c r="C31" s="46"/>
      <c r="D31" s="48"/>
      <c r="E31" s="48"/>
      <c r="F31" s="49">
        <f>+G75*$H$8/100</f>
        <v>0</v>
      </c>
      <c r="G31" s="50"/>
      <c r="H31" s="50"/>
      <c r="I31" s="50"/>
      <c r="J31" s="49">
        <f t="shared" si="2"/>
        <v>0</v>
      </c>
      <c r="K31" s="49">
        <f>IF(ABS(A31)&lt;=$H$16-1,+J31*B31,"")</f>
        <v>0</v>
      </c>
      <c r="L31" s="49">
        <f t="shared" si="3"/>
        <v>0</v>
      </c>
      <c r="M31" s="187" t="s">
        <v>114</v>
      </c>
      <c r="N31" s="52"/>
      <c r="X31" s="19"/>
    </row>
    <row r="32" spans="1:30" ht="33" customHeight="1" x14ac:dyDescent="0.25">
      <c r="A32" s="46">
        <v>-4</v>
      </c>
      <c r="B32" s="47">
        <f>IF(A32&lt;$H$16,1/(1+$H$13)^A32,"")</f>
        <v>1.2173595086688254</v>
      </c>
      <c r="C32" s="46"/>
      <c r="D32" s="48"/>
      <c r="E32" s="48"/>
      <c r="F32" s="49">
        <f>+H75*$H$8/100</f>
        <v>0</v>
      </c>
      <c r="G32" s="50"/>
      <c r="H32" s="50"/>
      <c r="I32" s="50"/>
      <c r="J32" s="49">
        <f t="shared" si="2"/>
        <v>0</v>
      </c>
      <c r="K32" s="49">
        <f>IF(ABS(A32)&lt;=$H$16-1,+J32*B32,"")</f>
        <v>0</v>
      </c>
      <c r="L32" s="49">
        <f t="shared" si="3"/>
        <v>0</v>
      </c>
      <c r="M32" s="188"/>
      <c r="N32" s="52"/>
      <c r="X32" s="19"/>
    </row>
    <row r="33" spans="1:31" ht="33" customHeight="1" x14ac:dyDescent="0.25">
      <c r="A33" s="46">
        <v>-3</v>
      </c>
      <c r="B33" s="47">
        <f>IF(A33&lt;$H$16,1/(1+$H$13)^A33,"")</f>
        <v>1.158948504064</v>
      </c>
      <c r="C33" s="46"/>
      <c r="D33" s="48"/>
      <c r="E33" s="48"/>
      <c r="F33" s="49">
        <f>+I75*$H$8/100</f>
        <v>0</v>
      </c>
      <c r="G33" s="50"/>
      <c r="H33" s="50"/>
      <c r="I33" s="50"/>
      <c r="J33" s="49">
        <f t="shared" si="2"/>
        <v>0</v>
      </c>
      <c r="K33" s="49">
        <f>IF(ABS(A33)&lt;=$H$16-1,+J33*B33,"")</f>
        <v>0</v>
      </c>
      <c r="L33" s="49">
        <f t="shared" si="3"/>
        <v>0</v>
      </c>
      <c r="M33" s="188"/>
      <c r="N33" s="52"/>
      <c r="O33" s="30" t="s">
        <v>130</v>
      </c>
      <c r="X33" s="19"/>
    </row>
    <row r="34" spans="1:31" ht="33" customHeight="1" x14ac:dyDescent="0.25">
      <c r="A34" s="46">
        <v>-2</v>
      </c>
      <c r="B34" s="47">
        <f>IF(A34&lt;$H$16,1/(1+$H$13)^A34,"")</f>
        <v>1.1033401599999999</v>
      </c>
      <c r="C34" s="46"/>
      <c r="D34" s="48"/>
      <c r="E34" s="48"/>
      <c r="F34" s="49">
        <f>+J75*$H$8/100</f>
        <v>160.28114399999995</v>
      </c>
      <c r="G34" s="50"/>
      <c r="H34" s="50"/>
      <c r="I34" s="50"/>
      <c r="J34" s="49">
        <f t="shared" si="2"/>
        <v>160.28114399999995</v>
      </c>
      <c r="K34" s="49">
        <f>IF(ABS(A34)&lt;=$H$16-1,+J34*B34,"")</f>
        <v>176.84462306594298</v>
      </c>
      <c r="L34" s="49">
        <f>L33+K34</f>
        <v>176.84462306594298</v>
      </c>
      <c r="M34" s="188"/>
      <c r="N34" s="52"/>
      <c r="O34" s="30">
        <v>2</v>
      </c>
      <c r="X34" s="19"/>
      <c r="AC34" s="10" t="s">
        <v>185</v>
      </c>
    </row>
    <row r="35" spans="1:31" ht="45.75" thickBot="1" x14ac:dyDescent="0.3">
      <c r="A35" s="46">
        <v>-1</v>
      </c>
      <c r="B35" s="47">
        <f>IF(A35&lt;$H$16,1/(1+$H$13)^A35,"")</f>
        <v>1.0504</v>
      </c>
      <c r="C35" s="46"/>
      <c r="D35" s="48"/>
      <c r="E35" s="48"/>
      <c r="F35" s="49">
        <f>+K75*$H$8/100</f>
        <v>106.85409599999998</v>
      </c>
      <c r="G35" s="50"/>
      <c r="H35" s="50"/>
      <c r="I35" s="50"/>
      <c r="J35" s="49">
        <f>SUM(F35:H35)</f>
        <v>106.85409599999998</v>
      </c>
      <c r="K35" s="49">
        <f>IF(ABS(A35)&lt;=$H$16-1,+J35*B35,"")</f>
        <v>112.23954243839998</v>
      </c>
      <c r="L35" s="49">
        <f t="shared" si="3"/>
        <v>289.08416550434299</v>
      </c>
      <c r="M35" s="193"/>
      <c r="N35" s="53"/>
      <c r="O35" s="153" t="s">
        <v>187</v>
      </c>
      <c r="P35" s="153" t="s">
        <v>145</v>
      </c>
      <c r="Q35" s="153" t="s">
        <v>197</v>
      </c>
      <c r="R35" s="153" t="s">
        <v>179</v>
      </c>
      <c r="S35" s="153" t="s">
        <v>180</v>
      </c>
      <c r="T35" s="158" t="s">
        <v>183</v>
      </c>
      <c r="U35" s="158" t="s">
        <v>151</v>
      </c>
      <c r="V35" s="158" t="s">
        <v>184</v>
      </c>
      <c r="W35" s="159" t="s">
        <v>152</v>
      </c>
      <c r="X35" s="160" t="s">
        <v>176</v>
      </c>
      <c r="AC35" s="152" t="s">
        <v>186</v>
      </c>
      <c r="AD35" s="10" t="s">
        <v>133</v>
      </c>
      <c r="AE35" s="30" t="s">
        <v>180</v>
      </c>
    </row>
    <row r="36" spans="1:31" ht="33" customHeight="1" x14ac:dyDescent="0.25">
      <c r="A36" s="46">
        <v>1</v>
      </c>
      <c r="B36" s="47">
        <f>1/(1+$H$13)^(A36-1)</f>
        <v>1</v>
      </c>
      <c r="C36" s="54"/>
      <c r="D36" s="55">
        <f>IF(A36&lt;=($H$16),X36,"")</f>
        <v>135079.20000000001</v>
      </c>
      <c r="E36" s="55">
        <f t="shared" ref="E36:E64" si="4">D36*B36</f>
        <v>135079.20000000001</v>
      </c>
      <c r="F36" s="50"/>
      <c r="G36" s="56">
        <f>IF(A36&lt;=($H$16),IF(ISERROR($B$12),AC36,Q36),0)</f>
        <v>5.9537999999999984</v>
      </c>
      <c r="H36" s="49"/>
      <c r="I36" s="49"/>
      <c r="J36" s="56"/>
      <c r="K36" s="56">
        <f>B36*G36</f>
        <v>5.9537999999999984</v>
      </c>
      <c r="L36" s="194" t="s">
        <v>115</v>
      </c>
      <c r="M36" s="57" t="str">
        <f>IF(A36=$H$16,$M$30,"")</f>
        <v/>
      </c>
      <c r="N36" s="57" t="str">
        <f>IF(A36=$H$16,M36/(1+$H$13)^A36,"")</f>
        <v/>
      </c>
      <c r="O36" s="155">
        <f>IF($O$34=1,AC36,AD36)</f>
        <v>5.9537999999999984</v>
      </c>
      <c r="P36" s="155">
        <f>SUMIFS(Financials!L:L,Financials!A:A,"="&amp;$A$1,Financials!C:C,"="&amp;+A36)</f>
        <v>5.9537999999999984</v>
      </c>
      <c r="Q36" s="156">
        <f>IF(P36=0,O36,P36)</f>
        <v>5.9537999999999984</v>
      </c>
      <c r="R36" s="156">
        <f>1000000*Q36/D36</f>
        <v>44.076364088623542</v>
      </c>
      <c r="S36" s="157">
        <f>1000000*Q36/$H$4</f>
        <v>198459.99999999994</v>
      </c>
      <c r="T36" s="161">
        <f>IF(U10&gt;0.6,0.6,U10)</f>
        <v>0.46</v>
      </c>
      <c r="U36" s="161">
        <f>SUMIFS(CFs!E:E,CFs!A:A,"="&amp;$A$1,CFs!B:B,"="&amp;+A36)</f>
        <v>0.51400000000000001</v>
      </c>
      <c r="V36" s="161">
        <f>IF(U36=0,(1-$H$17)*AVERAGE(V33:V35),U36)</f>
        <v>0.51400000000000001</v>
      </c>
      <c r="W36" s="161">
        <f>IF($U$36&gt;0,V36,T36)</f>
        <v>0.51400000000000001</v>
      </c>
      <c r="X36" s="162">
        <f>W36*$H$6*8760</f>
        <v>135079.20000000001</v>
      </c>
      <c r="AA36" s="15"/>
      <c r="AC36" s="154">
        <f>$H$4*1000*EXP((($P$4+A36-2000)*$P$5)+$Q$9)/1000000</f>
        <v>5.4472958034365133</v>
      </c>
      <c r="AD36" s="14">
        <f>IF(P36=0,$H$4*1000*EXP((($P$4+A36-2000)*$P$5)+$Q$9)/1000000,P36)</f>
        <v>5.9537999999999984</v>
      </c>
      <c r="AE36" s="170">
        <f>S36</f>
        <v>198459.99999999994</v>
      </c>
    </row>
    <row r="37" spans="1:31" ht="15" customHeight="1" x14ac:dyDescent="0.25">
      <c r="A37" s="46">
        <f>A36+1</f>
        <v>2</v>
      </c>
      <c r="B37" s="47">
        <f>1/(1+$H$13)^(A37-1)</f>
        <v>0.95201827875095202</v>
      </c>
      <c r="C37" s="54"/>
      <c r="D37" s="55">
        <f>IF(A37&lt;=($H$16),X37,0)</f>
        <v>149940</v>
      </c>
      <c r="E37" s="55">
        <f t="shared" si="4"/>
        <v>142745.62071591776</v>
      </c>
      <c r="F37" s="50"/>
      <c r="G37" s="56">
        <f>IF(A37&lt;=($H$16),IF(ISERROR($B$12),AC37,Q37),0)</f>
        <v>5.4667199999999996</v>
      </c>
      <c r="H37" s="49"/>
      <c r="I37" s="49"/>
      <c r="J37" s="56"/>
      <c r="K37" s="56">
        <f t="shared" ref="K37:K64" si="5">B37*G37</f>
        <v>5.2044173648134038</v>
      </c>
      <c r="L37" s="195"/>
      <c r="M37" s="57" t="str">
        <f>IF(A37=$H$16,$M$30,"")</f>
        <v/>
      </c>
      <c r="N37" s="57" t="str">
        <f>IF(A37=$H$16,M37/(1+$H$13)^A37,"")</f>
        <v/>
      </c>
      <c r="O37" s="155">
        <f t="shared" ref="O37:O64" si="6">IF($O$34=1,AC37,AD37)</f>
        <v>6.1037999999999979</v>
      </c>
      <c r="P37" s="155">
        <f>SUMIFS(Financials!L:L,Financials!A:A,"="&amp;$A$1,Financials!C:C,"="&amp;+A37)</f>
        <v>5.4667199999999996</v>
      </c>
      <c r="Q37" s="156">
        <f>IF(P37=0,O37,P37)</f>
        <v>5.4667199999999996</v>
      </c>
      <c r="R37" s="156">
        <f t="shared" ref="R37:R55" si="7">1000000*Q37/D37</f>
        <v>36.459383753501399</v>
      </c>
      <c r="S37" s="157">
        <f>1000000*Q37/$H$4</f>
        <v>182224</v>
      </c>
      <c r="T37" s="163">
        <f>T36</f>
        <v>0.46</v>
      </c>
      <c r="U37" s="161">
        <f>SUMIFS(CFs!E:E,CFs!A:A,"="&amp;$A$1,CFs!B:B,"="&amp;+A37)</f>
        <v>0.57054794520547947</v>
      </c>
      <c r="V37" s="161">
        <f>IF(U37=0,(1-$H$17)*AVERAGE(V34:V36),U37)</f>
        <v>0.57054794520547947</v>
      </c>
      <c r="W37" s="161">
        <f t="shared" ref="W37:W64" si="8">IF($U$36&gt;0,V37,T37)</f>
        <v>0.57054794520547947</v>
      </c>
      <c r="X37" s="162">
        <f>W37*$H$6*8760</f>
        <v>149940</v>
      </c>
      <c r="AA37" s="15"/>
      <c r="AC37" s="154">
        <f>AC36*1.125</f>
        <v>6.1282077788660771</v>
      </c>
      <c r="AD37" s="14">
        <f>(AE37*$H$4)/1000000</f>
        <v>6.1037999999999979</v>
      </c>
      <c r="AE37" s="170">
        <f>AE36+5000</f>
        <v>203459.99999999994</v>
      </c>
    </row>
    <row r="38" spans="1:31" ht="15" customHeight="1" x14ac:dyDescent="0.25">
      <c r="A38" s="46">
        <f t="shared" ref="A38:A64" si="9">A37+1</f>
        <v>3</v>
      </c>
      <c r="B38" s="47">
        <f>1/(1+$H$13)^(A38-1)</f>
        <v>0.9063388030759254</v>
      </c>
      <c r="C38" s="54"/>
      <c r="D38" s="55">
        <f>IF(A38&lt;=($H$16),X38,0)</f>
        <v>135064</v>
      </c>
      <c r="E38" s="55">
        <f t="shared" si="4"/>
        <v>122413.74409864678</v>
      </c>
      <c r="F38" s="50"/>
      <c r="G38" s="56">
        <f>IF(A38&lt;=($H$16),IF(ISERROR($B$12),AC38,Q38),0)</f>
        <v>7.3028400000000016</v>
      </c>
      <c r="H38" s="49"/>
      <c r="I38" s="49"/>
      <c r="J38" s="56"/>
      <c r="K38" s="56">
        <f t="shared" si="5"/>
        <v>6.6188472646549927</v>
      </c>
      <c r="L38" s="195"/>
      <c r="M38" s="57" t="str">
        <f>IF(A38=$H$16,$M$30,"")</f>
        <v/>
      </c>
      <c r="N38" s="57" t="str">
        <f>IF(A38=$H$16,M38/(1+$H$13)^A38,"")</f>
        <v/>
      </c>
      <c r="O38" s="155">
        <f t="shared" si="6"/>
        <v>6.2537999999999982</v>
      </c>
      <c r="P38" s="155">
        <f>SUMIFS(Financials!L:L,Financials!A:A,"="&amp;$A$1,Financials!C:C,"="&amp;+A38)</f>
        <v>7.3028400000000016</v>
      </c>
      <c r="Q38" s="156">
        <f>IF(P38=0,O38,P38)</f>
        <v>7.3028400000000016</v>
      </c>
      <c r="R38" s="156">
        <f t="shared" si="7"/>
        <v>54.069478173310443</v>
      </c>
      <c r="S38" s="157">
        <f>1000000*Q38/$H$4</f>
        <v>243428.00000000006</v>
      </c>
      <c r="T38" s="163">
        <f>T37*(1-$H$17)</f>
        <v>0.45034000000000002</v>
      </c>
      <c r="U38" s="161">
        <f>SUMIFS(CFs!E:E,CFs!A:A,"="&amp;$A$1,CFs!B:B,"="&amp;+A38)</f>
        <v>0.51394216133942161</v>
      </c>
      <c r="V38" s="161">
        <f>IF(U38=0,(1-$H$17)*AVERAGE(V35:V37),U38)</f>
        <v>0.51394216133942161</v>
      </c>
      <c r="W38" s="161">
        <f t="shared" si="8"/>
        <v>0.51394216133942161</v>
      </c>
      <c r="X38" s="162">
        <f>W38*$H$6*8760</f>
        <v>135064</v>
      </c>
      <c r="AA38" s="15"/>
      <c r="AC38" s="154">
        <f>AC36*1.25</f>
        <v>6.8091197542956419</v>
      </c>
      <c r="AD38" s="14">
        <f>(AE38*$H$4)/1000000</f>
        <v>6.2537999999999982</v>
      </c>
      <c r="AE38" s="170">
        <f t="shared" ref="AE38:AE64" si="10">AE37+5000</f>
        <v>208459.99999999994</v>
      </c>
    </row>
    <row r="39" spans="1:31" ht="15" customHeight="1" x14ac:dyDescent="0.25">
      <c r="A39" s="46">
        <f t="shared" si="9"/>
        <v>4</v>
      </c>
      <c r="B39" s="47">
        <f>1/(1+$H$13)^(A39-1)</f>
        <v>0.86285110726954062</v>
      </c>
      <c r="C39" s="54"/>
      <c r="D39" s="55">
        <f>IF(A39&lt;=($H$16),X39,0)</f>
        <v>137087.15093333332</v>
      </c>
      <c r="E39" s="55">
        <f t="shared" si="4"/>
        <v>118285.79997525329</v>
      </c>
      <c r="F39" s="50"/>
      <c r="G39" s="56">
        <f>IF(A39&lt;=($H$16),IF(ISERROR($B$12),AC39,Q39),0)</f>
        <v>6.4037999999999977</v>
      </c>
      <c r="H39" s="49"/>
      <c r="I39" s="49"/>
      <c r="J39" s="56"/>
      <c r="K39" s="56">
        <f t="shared" si="5"/>
        <v>5.5255259207326821</v>
      </c>
      <c r="L39" s="195"/>
      <c r="M39" s="57" t="str">
        <f>IF(A39=$H$16,$M$30,"")</f>
        <v/>
      </c>
      <c r="N39" s="57" t="str">
        <f>IF(A39=$H$16,M39/(1+$H$13)^A39,"")</f>
        <v/>
      </c>
      <c r="O39" s="155">
        <f t="shared" si="6"/>
        <v>6.4037999999999977</v>
      </c>
      <c r="P39" s="155">
        <f>SUMIFS(Financials!L:L,Financials!A:A,"="&amp;$A$1,Financials!C:C,"="&amp;+A39)</f>
        <v>0</v>
      </c>
      <c r="Q39" s="156">
        <f>IF(P39=0,O39,P39)</f>
        <v>6.4037999999999977</v>
      </c>
      <c r="R39" s="156">
        <f t="shared" si="7"/>
        <v>46.713349547356351</v>
      </c>
      <c r="S39" s="157">
        <f>1000000*Q39/$H$4</f>
        <v>213459.99999999994</v>
      </c>
      <c r="T39" s="163">
        <f>T38*(1-$H$17)</f>
        <v>0.44088285999999999</v>
      </c>
      <c r="U39" s="161">
        <f>SUMIFS(CFs!E:E,CFs!A:A,"="&amp;$A$1,CFs!B:B,"="&amp;+A39)</f>
        <v>0</v>
      </c>
      <c r="V39" s="161">
        <f>IF(U39=0,(1-$H$17)*AVERAGE(V36:V38),U39)</f>
        <v>0.52164060476915264</v>
      </c>
      <c r="W39" s="161">
        <f t="shared" si="8"/>
        <v>0.52164060476915264</v>
      </c>
      <c r="X39" s="162">
        <f>W39*$H$6*8760</f>
        <v>137087.15093333332</v>
      </c>
      <c r="AA39" s="15"/>
      <c r="AC39" s="154">
        <f>AC36*1.375</f>
        <v>7.4900317297252057</v>
      </c>
      <c r="AD39" s="14">
        <f>(AE39*$H$4)/1000000</f>
        <v>6.4037999999999977</v>
      </c>
      <c r="AE39" s="170">
        <f t="shared" si="10"/>
        <v>213459.99999999994</v>
      </c>
    </row>
    <row r="40" spans="1:31" ht="15" customHeight="1" x14ac:dyDescent="0.25">
      <c r="A40" s="46">
        <f t="shared" si="9"/>
        <v>5</v>
      </c>
      <c r="B40" s="47">
        <f>1/(1+$H$13)^(A40-1)</f>
        <v>0.82145002596110117</v>
      </c>
      <c r="C40" s="54"/>
      <c r="D40" s="55">
        <f>IF(A40&lt;=($H$16),X40,0)</f>
        <v>137742.41225457776</v>
      </c>
      <c r="E40" s="55">
        <f t="shared" si="4"/>
        <v>113148.50812246761</v>
      </c>
      <c r="F40" s="50"/>
      <c r="G40" s="56">
        <f>IF(A40&lt;=($H$16),IF(ISERROR($B$12),AC40,Q40),0)</f>
        <v>6.5537999999999981</v>
      </c>
      <c r="H40" s="49"/>
      <c r="I40" s="49"/>
      <c r="J40" s="56"/>
      <c r="K40" s="56">
        <f t="shared" si="5"/>
        <v>5.3836191801438629</v>
      </c>
      <c r="L40" s="195"/>
      <c r="M40" s="57" t="str">
        <f>IF(A40=$H$16,$M$30,"")</f>
        <v/>
      </c>
      <c r="N40" s="57" t="str">
        <f>IF(A40=$H$16,M40/(1+$H$13)^A40,"")</f>
        <v/>
      </c>
      <c r="O40" s="155">
        <f t="shared" si="6"/>
        <v>6.5537999999999981</v>
      </c>
      <c r="P40" s="155">
        <f>SUMIFS(Financials!L:L,Financials!A:A,"="&amp;$A$1,Financials!C:C,"="&amp;+A40)</f>
        <v>0</v>
      </c>
      <c r="Q40" s="156">
        <f>IF(P40=0,O40,P40)</f>
        <v>6.5537999999999981</v>
      </c>
      <c r="R40" s="156">
        <f t="shared" si="7"/>
        <v>47.580116339818112</v>
      </c>
      <c r="S40" s="157">
        <f>1000000*Q40/$H$4</f>
        <v>218459.99999999994</v>
      </c>
      <c r="T40" s="163">
        <f>T39*(1-$H$17)</f>
        <v>0.43162431994</v>
      </c>
      <c r="U40" s="161">
        <f>SUMIFS(CFs!E:E,CFs!A:A,"="&amp;$A$1,CFs!B:B,"="&amp;+A40)</f>
        <v>0</v>
      </c>
      <c r="V40" s="161">
        <f>IF(U40=0,(1-$H$17)*AVERAGE(V37:V39),U40)</f>
        <v>0.52413398879215289</v>
      </c>
      <c r="W40" s="161">
        <f t="shared" si="8"/>
        <v>0.52413398879215289</v>
      </c>
      <c r="X40" s="162">
        <f>W40*$H$6*8760</f>
        <v>137742.41225457776</v>
      </c>
      <c r="AA40" s="15"/>
      <c r="AC40" s="154">
        <f>AC36*1.5</f>
        <v>8.1709437051547695</v>
      </c>
      <c r="AD40" s="14">
        <f>(AE40*$H$4)/1000000</f>
        <v>6.5537999999999981</v>
      </c>
      <c r="AE40" s="170">
        <f t="shared" si="10"/>
        <v>218459.99999999994</v>
      </c>
    </row>
    <row r="41" spans="1:31" ht="15" customHeight="1" x14ac:dyDescent="0.25">
      <c r="A41" s="46">
        <f t="shared" si="9"/>
        <v>6</v>
      </c>
      <c r="B41" s="47">
        <f>1/(1+$H$13)^(A41-1)</f>
        <v>0.78203543979541246</v>
      </c>
      <c r="C41" s="54"/>
      <c r="D41" s="55">
        <f>IF(A41&lt;=($H$16),X41,0)</f>
        <v>133761.93278698833</v>
      </c>
      <c r="E41" s="55">
        <f t="shared" si="4"/>
        <v>104606.57193495682</v>
      </c>
      <c r="F41" s="50"/>
      <c r="G41" s="56">
        <f>IF(A41&lt;=($H$16),IF(ISERROR($B$12),AC41,Q41),0)</f>
        <v>6.7037999999999984</v>
      </c>
      <c r="H41" s="49"/>
      <c r="I41" s="49"/>
      <c r="J41" s="56"/>
      <c r="K41" s="56">
        <f t="shared" si="5"/>
        <v>5.2426091813004847</v>
      </c>
      <c r="L41" s="195"/>
      <c r="M41" s="57" t="str">
        <f>IF(A41=$H$16,$M$30,"")</f>
        <v/>
      </c>
      <c r="N41" s="57" t="str">
        <f>IF(A41=$H$16,M41/(1+$H$13)^A41,"")</f>
        <v/>
      </c>
      <c r="O41" s="155">
        <f t="shared" si="6"/>
        <v>6.7037999999999984</v>
      </c>
      <c r="P41" s="155">
        <f>SUMIFS(Financials!L:L,Financials!A:A,"="&amp;$A$1,Financials!C:C,"="&amp;+A41)</f>
        <v>0</v>
      </c>
      <c r="Q41" s="156">
        <f>IF(P41=0,O41,P41)</f>
        <v>6.7037999999999984</v>
      </c>
      <c r="R41" s="156">
        <f t="shared" si="7"/>
        <v>50.117397830035763</v>
      </c>
      <c r="S41" s="157">
        <f>1000000*Q41/$H$4</f>
        <v>223459.99999999994</v>
      </c>
      <c r="T41" s="163">
        <f>T40*(1-$H$17)</f>
        <v>0.42256020922125997</v>
      </c>
      <c r="U41" s="161">
        <f>SUMIFS(CFs!E:E,CFs!A:A,"="&amp;$A$1,CFs!B:B,"="&amp;+A41)</f>
        <v>0</v>
      </c>
      <c r="V41" s="161">
        <f>IF(U41=0,(1-$H$17)*AVERAGE(V38:V40),U41)</f>
        <v>0.508987567682604</v>
      </c>
      <c r="W41" s="161">
        <f t="shared" si="8"/>
        <v>0.508987567682604</v>
      </c>
      <c r="X41" s="162">
        <f>W41*$H$6*8760</f>
        <v>133761.93278698833</v>
      </c>
      <c r="AA41" s="15"/>
      <c r="AC41" s="154">
        <f>AC40</f>
        <v>8.1709437051547695</v>
      </c>
      <c r="AD41" s="14">
        <f>(AE41*$H$4)/1000000</f>
        <v>6.7037999999999984</v>
      </c>
      <c r="AE41" s="170">
        <f t="shared" si="10"/>
        <v>223459.99999999994</v>
      </c>
    </row>
    <row r="42" spans="1:31" ht="15" customHeight="1" x14ac:dyDescent="0.25">
      <c r="A42" s="46">
        <f t="shared" si="9"/>
        <v>7</v>
      </c>
      <c r="B42" s="47">
        <f>1/(1+$H$13)^(A42-1)</f>
        <v>0.74451203331627236</v>
      </c>
      <c r="C42" s="54"/>
      <c r="D42" s="55">
        <f>IF(A42&lt;=($H$16),X42,0)</f>
        <v>133337.02485314215</v>
      </c>
      <c r="E42" s="55">
        <f t="shared" si="4"/>
        <v>99271.019489755199</v>
      </c>
      <c r="F42" s="50"/>
      <c r="G42" s="56">
        <f>IF(A42&lt;=($H$16),IF(ISERROR($B$12),AC42,Q42),0)</f>
        <v>6.8537999999999979</v>
      </c>
      <c r="H42" s="49"/>
      <c r="I42" s="49"/>
      <c r="J42" s="56"/>
      <c r="K42" s="56">
        <f t="shared" si="5"/>
        <v>5.1027365739430657</v>
      </c>
      <c r="L42" s="195"/>
      <c r="M42" s="57" t="str">
        <f>IF(A42=$H$16,$M$30,"")</f>
        <v/>
      </c>
      <c r="N42" s="57" t="str">
        <f>IF(A42=$H$16,M42/(1+$H$13)^A42,"")</f>
        <v/>
      </c>
      <c r="O42" s="155">
        <f t="shared" si="6"/>
        <v>6.8537999999999979</v>
      </c>
      <c r="P42" s="155">
        <f>SUMIFS(Financials!L:L,Financials!A:A,"="&amp;$A$1,Financials!C:C,"="&amp;+A42)</f>
        <v>0</v>
      </c>
      <c r="Q42" s="156">
        <f>IF(P42=0,O42,P42)</f>
        <v>6.8537999999999979</v>
      </c>
      <c r="R42" s="156">
        <f t="shared" si="7"/>
        <v>51.402076861612869</v>
      </c>
      <c r="S42" s="157">
        <f>1000000*Q42/$H$4</f>
        <v>228459.99999999994</v>
      </c>
      <c r="T42" s="163">
        <f>T41*(1-$H$17)</f>
        <v>0.41368644482761352</v>
      </c>
      <c r="U42" s="161">
        <f>SUMIFS(CFs!E:E,CFs!A:A,"="&amp;$A$1,CFs!B:B,"="&amp;+A42)</f>
        <v>0</v>
      </c>
      <c r="V42" s="161">
        <f>IF(U42=0,(1-$H$17)*AVERAGE(V39:V41),U42)</f>
        <v>0.50737071861926242</v>
      </c>
      <c r="W42" s="161">
        <f t="shared" si="8"/>
        <v>0.50737071861926242</v>
      </c>
      <c r="X42" s="162">
        <f>W42*$H$6*8760</f>
        <v>133337.02485314215</v>
      </c>
      <c r="AA42" s="15"/>
      <c r="AC42" s="154">
        <f t="shared" ref="AC42:AC64" si="11">AC41</f>
        <v>8.1709437051547695</v>
      </c>
      <c r="AD42" s="14">
        <f>(AE42*$H$4)/1000000</f>
        <v>6.8537999999999979</v>
      </c>
      <c r="AE42" s="170">
        <f t="shared" si="10"/>
        <v>228459.99999999994</v>
      </c>
    </row>
    <row r="43" spans="1:31" ht="15" customHeight="1" x14ac:dyDescent="0.25">
      <c r="A43" s="46">
        <f t="shared" si="9"/>
        <v>8</v>
      </c>
      <c r="B43" s="47">
        <f>1/(1+$H$13)^(A43-1)</f>
        <v>0.70878906446712908</v>
      </c>
      <c r="C43" s="54"/>
      <c r="D43" s="55">
        <f>IF(A43&lt;=($H$16),X43,0)</f>
        <v>132113.23370897313</v>
      </c>
      <c r="E43" s="55">
        <f t="shared" si="4"/>
        <v>93640.415324310248</v>
      </c>
      <c r="F43" s="50"/>
      <c r="G43" s="56">
        <f>IF(A43&lt;=($H$16),IF(ISERROR($B$12),AC43,Q43),0)</f>
        <v>7.0037999999999982</v>
      </c>
      <c r="H43" s="49"/>
      <c r="I43" s="49"/>
      <c r="J43" s="56"/>
      <c r="K43" s="56">
        <f t="shared" si="5"/>
        <v>4.9642168497148775</v>
      </c>
      <c r="L43" s="195"/>
      <c r="M43" s="57" t="str">
        <f>IF(A43=$H$16,$M$30,"")</f>
        <v/>
      </c>
      <c r="N43" s="57" t="str">
        <f>IF(A43=$H$16,M43/(1+$H$13)^A43,"")</f>
        <v/>
      </c>
      <c r="O43" s="155">
        <f t="shared" si="6"/>
        <v>7.0037999999999982</v>
      </c>
      <c r="P43" s="155">
        <f>SUMIFS(Financials!L:L,Financials!A:A,"="&amp;$A$1,Financials!C:C,"="&amp;+A43)</f>
        <v>0</v>
      </c>
      <c r="Q43" s="156">
        <f>IF(P43=0,O43,P43)</f>
        <v>7.0037999999999982</v>
      </c>
      <c r="R43" s="156">
        <f t="shared" si="7"/>
        <v>53.013614180608009</v>
      </c>
      <c r="S43" s="157">
        <f>1000000*Q43/$H$4</f>
        <v>233459.99999999994</v>
      </c>
      <c r="T43" s="163">
        <f>T42*(1-$H$17)</f>
        <v>0.40499902948623362</v>
      </c>
      <c r="U43" s="161">
        <f>SUMIFS(CFs!E:E,CFs!A:A,"="&amp;$A$1,CFs!B:B,"="&amp;+A43)</f>
        <v>0</v>
      </c>
      <c r="V43" s="161">
        <f>IF(U43=0,(1-$H$17)*AVERAGE(V40:V42),U43)</f>
        <v>0.50271397910568161</v>
      </c>
      <c r="W43" s="161">
        <f t="shared" si="8"/>
        <v>0.50271397910568161</v>
      </c>
      <c r="X43" s="162">
        <f>W43*$H$6*8760</f>
        <v>132113.23370897313</v>
      </c>
      <c r="AA43" s="15"/>
      <c r="AC43" s="154">
        <f t="shared" si="11"/>
        <v>8.1709437051547695</v>
      </c>
      <c r="AD43" s="14">
        <f>(AE43*$H$4)/1000000</f>
        <v>7.0037999999999982</v>
      </c>
      <c r="AE43" s="170">
        <f t="shared" si="10"/>
        <v>233459.99999999994</v>
      </c>
    </row>
    <row r="44" spans="1:31" ht="15" customHeight="1" x14ac:dyDescent="0.25">
      <c r="A44" s="46">
        <f t="shared" si="9"/>
        <v>9</v>
      </c>
      <c r="B44" s="47">
        <f>1/(1+$H$13)^(A44-1)</f>
        <v>0.67478014515149376</v>
      </c>
      <c r="C44" s="54"/>
      <c r="D44" s="55">
        <f>IF(A44&lt;=($H$16),X44,0)</f>
        <v>130276.2451102575</v>
      </c>
      <c r="E44" s="55">
        <f t="shared" si="4"/>
        <v>87907.823585291131</v>
      </c>
      <c r="F44" s="50"/>
      <c r="G44" s="56">
        <f>IF(A44&lt;=($H$16),IF(ISERROR($B$12),AC44,Q44),0)</f>
        <v>7.1537999999999977</v>
      </c>
      <c r="H44" s="49"/>
      <c r="I44" s="49"/>
      <c r="J44" s="56"/>
      <c r="K44" s="56">
        <f t="shared" si="5"/>
        <v>4.8272422023847543</v>
      </c>
      <c r="L44" s="195"/>
      <c r="M44" s="57" t="str">
        <f>IF(A44=$H$16,$M$30,"")</f>
        <v/>
      </c>
      <c r="N44" s="57" t="str">
        <f>IF(A44=$H$16,M44/(1+$H$13)^A44,"")</f>
        <v/>
      </c>
      <c r="O44" s="155">
        <f t="shared" si="6"/>
        <v>7.1537999999999977</v>
      </c>
      <c r="P44" s="155">
        <f>SUMIFS(Financials!L:L,Financials!A:A,"="&amp;$A$1,Financials!C:C,"="&amp;+A44)</f>
        <v>0</v>
      </c>
      <c r="Q44" s="156">
        <f>IF(P44=0,O44,P44)</f>
        <v>7.1537999999999977</v>
      </c>
      <c r="R44" s="156">
        <f t="shared" si="7"/>
        <v>54.9125436793598</v>
      </c>
      <c r="S44" s="157">
        <f>1000000*Q44/$H$4</f>
        <v>238459.99999999994</v>
      </c>
      <c r="T44" s="163">
        <f>T43*(1-$H$17)</f>
        <v>0.39649404986702269</v>
      </c>
      <c r="U44" s="161">
        <f>SUMIFS(CFs!E:E,CFs!A:A,"="&amp;$A$1,CFs!B:B,"="&amp;+A44)</f>
        <v>0</v>
      </c>
      <c r="V44" s="161">
        <f>IF(U44=0,(1-$H$17)*AVERAGE(V41:V43),U44)</f>
        <v>0.49572391594466325</v>
      </c>
      <c r="W44" s="161">
        <f t="shared" si="8"/>
        <v>0.49572391594466325</v>
      </c>
      <c r="X44" s="162">
        <f>W44*$H$6*8760</f>
        <v>130276.2451102575</v>
      </c>
      <c r="AA44" s="15"/>
      <c r="AC44" s="154">
        <f t="shared" si="11"/>
        <v>8.1709437051547695</v>
      </c>
      <c r="AD44" s="14">
        <f>(AE44*$H$4)/1000000</f>
        <v>7.1537999999999977</v>
      </c>
      <c r="AE44" s="170">
        <f t="shared" si="10"/>
        <v>238459.99999999994</v>
      </c>
    </row>
    <row r="45" spans="1:31" ht="15" customHeight="1" x14ac:dyDescent="0.25">
      <c r="A45" s="46">
        <f t="shared" si="9"/>
        <v>10</v>
      </c>
      <c r="B45" s="47">
        <f>1/(1+$H$13)^(A45-1)</f>
        <v>0.64240303232244267</v>
      </c>
      <c r="C45" s="54"/>
      <c r="D45" s="55">
        <f>IF(A45&lt;=($H$16),X45,0)</f>
        <v>129138.74903175098</v>
      </c>
      <c r="E45" s="55">
        <f t="shared" si="4"/>
        <v>82959.123968323736</v>
      </c>
      <c r="F45" s="50"/>
      <c r="G45" s="56">
        <f>IF(A45&lt;=($H$16),IF(ISERROR($B$12),AC45,Q45),0)</f>
        <v>7.3037999999999981</v>
      </c>
      <c r="H45" s="49"/>
      <c r="I45" s="49"/>
      <c r="J45" s="56"/>
      <c r="K45" s="56">
        <f t="shared" si="5"/>
        <v>4.6919832674766555</v>
      </c>
      <c r="L45" s="195"/>
      <c r="M45" s="57" t="str">
        <f>IF(A45=$H$16,$M$30,"")</f>
        <v/>
      </c>
      <c r="N45" s="57" t="str">
        <f>IF(A45=$H$16,M45/(1+$H$13)^A45,"")</f>
        <v/>
      </c>
      <c r="O45" s="155">
        <f t="shared" si="6"/>
        <v>7.3037999999999981</v>
      </c>
      <c r="P45" s="155">
        <f>SUMIFS(Financials!L:L,Financials!A:A,"="&amp;$A$1,Financials!C:C,"="&amp;+A45)</f>
        <v>0</v>
      </c>
      <c r="Q45" s="156">
        <f>IF(P45=0,O45,P45)</f>
        <v>7.3037999999999981</v>
      </c>
      <c r="R45" s="156">
        <f t="shared" si="7"/>
        <v>56.557772587716748</v>
      </c>
      <c r="S45" s="157">
        <f>1000000*Q45/$H$4</f>
        <v>243459.99999999994</v>
      </c>
      <c r="T45" s="163">
        <f>T44*(1-$H$17)</f>
        <v>0.38816767481981523</v>
      </c>
      <c r="U45" s="161">
        <f>SUMIFS(CFs!E:E,CFs!A:A,"="&amp;$A$1,CFs!B:B,"="&amp;+A45)</f>
        <v>0</v>
      </c>
      <c r="V45" s="161">
        <f>IF(U45=0,(1-$H$17)*AVERAGE(V42:V44),U45)</f>
        <v>0.49139554426084847</v>
      </c>
      <c r="W45" s="161">
        <f t="shared" si="8"/>
        <v>0.49139554426084847</v>
      </c>
      <c r="X45" s="162">
        <f>W45*$H$6*8760</f>
        <v>129138.74903175098</v>
      </c>
      <c r="AA45" s="15"/>
      <c r="AC45" s="154">
        <f t="shared" si="11"/>
        <v>8.1709437051547695</v>
      </c>
      <c r="AD45" s="14">
        <f>(AE45*$H$4)/1000000</f>
        <v>7.3037999999999981</v>
      </c>
      <c r="AE45" s="170">
        <f t="shared" si="10"/>
        <v>243459.99999999994</v>
      </c>
    </row>
    <row r="46" spans="1:31" ht="15" customHeight="1" x14ac:dyDescent="0.25">
      <c r="A46" s="46">
        <f t="shared" si="9"/>
        <v>11</v>
      </c>
      <c r="B46" s="47">
        <f>1/(1+$H$13)^(A46-1)</f>
        <v>0.61157942909600416</v>
      </c>
      <c r="C46" s="54"/>
      <c r="D46" s="55">
        <f>IF(A46&lt;=($H$16),X46,0)</f>
        <v>127768.71168870367</v>
      </c>
      <c r="E46" s="55">
        <f t="shared" si="4"/>
        <v>78140.715750909338</v>
      </c>
      <c r="F46" s="50"/>
      <c r="G46" s="56">
        <f>IF(A46&lt;=($H$16),IF(ISERROR($B$12),AC46,Q46),0)</f>
        <v>7.4537999999999984</v>
      </c>
      <c r="H46" s="49"/>
      <c r="I46" s="49"/>
      <c r="J46" s="56"/>
      <c r="K46" s="56">
        <f t="shared" si="5"/>
        <v>4.5585907485957948</v>
      </c>
      <c r="L46" s="195"/>
      <c r="M46" s="57" t="str">
        <f>IF(A46=$H$16,$M$30,"")</f>
        <v/>
      </c>
      <c r="N46" s="57" t="str">
        <f>IF(A46=$H$16,M46/(1+$H$13)^A46,"")</f>
        <v/>
      </c>
      <c r="O46" s="155">
        <f t="shared" si="6"/>
        <v>7.4537999999999984</v>
      </c>
      <c r="P46" s="155">
        <f>SUMIFS(Financials!L:L,Financials!A:A,"="&amp;$A$1,Financials!C:C,"="&amp;+A46)</f>
        <v>0</v>
      </c>
      <c r="Q46" s="156">
        <f>IF(P46=0,O46,P46)</f>
        <v>7.4537999999999984</v>
      </c>
      <c r="R46" s="156">
        <f t="shared" si="7"/>
        <v>58.338226170429536</v>
      </c>
      <c r="S46" s="157">
        <f>1000000*Q46/$H$4</f>
        <v>248459.99999999994</v>
      </c>
      <c r="T46" s="163">
        <f>T45*(1-$H$17)</f>
        <v>0.38001615364859909</v>
      </c>
      <c r="U46" s="161">
        <f>SUMIFS(CFs!E:E,CFs!A:A,"="&amp;$A$1,CFs!B:B,"="&amp;+A46)</f>
        <v>0</v>
      </c>
      <c r="V46" s="161">
        <f>IF(U46=0,(1-$H$17)*AVERAGE(V43:V45),U46)</f>
        <v>0.48618231236188608</v>
      </c>
      <c r="W46" s="161">
        <f t="shared" si="8"/>
        <v>0.48618231236188608</v>
      </c>
      <c r="X46" s="162">
        <f>W46*$H$6*8760</f>
        <v>127768.71168870367</v>
      </c>
      <c r="AA46" s="15"/>
      <c r="AC46" s="154">
        <f t="shared" si="11"/>
        <v>8.1709437051547695</v>
      </c>
      <c r="AD46" s="14">
        <f>(AE46*$H$4)/1000000</f>
        <v>7.4537999999999984</v>
      </c>
      <c r="AE46" s="170">
        <f t="shared" si="10"/>
        <v>248459.99999999994</v>
      </c>
    </row>
    <row r="47" spans="1:31" ht="15" customHeight="1" x14ac:dyDescent="0.25">
      <c r="A47" s="46">
        <f t="shared" si="9"/>
        <v>12</v>
      </c>
      <c r="B47" s="47">
        <f>1/(1+$H$13)^(A47-1)</f>
        <v>0.5822347954074677</v>
      </c>
      <c r="C47" s="54"/>
      <c r="D47" s="55">
        <f>IF(A47&lt;=($H$16),X47,0)</f>
        <v>126350.94933608906</v>
      </c>
      <c r="E47" s="55">
        <f t="shared" si="4"/>
        <v>73565.919136237135</v>
      </c>
      <c r="F47" s="50"/>
      <c r="G47" s="56">
        <f>IF(A47&lt;=($H$16),IF(ISERROR($B$12),AC47,Q47),0)</f>
        <v>7.6037999999999979</v>
      </c>
      <c r="H47" s="49"/>
      <c r="I47" s="49"/>
      <c r="J47" s="56"/>
      <c r="K47" s="56">
        <f t="shared" si="5"/>
        <v>4.4271969373193016</v>
      </c>
      <c r="L47" s="195"/>
      <c r="M47" s="57" t="str">
        <f>IF(A47=$H$16,$M$30,"")</f>
        <v/>
      </c>
      <c r="N47" s="57" t="str">
        <f>IF(A47=$H$16,M47/(1+$H$13)^A47,"")</f>
        <v/>
      </c>
      <c r="O47" s="155">
        <f t="shared" si="6"/>
        <v>7.6037999999999979</v>
      </c>
      <c r="P47" s="155">
        <f>SUMIFS(Financials!L:L,Financials!A:A,"="&amp;$A$1,Financials!C:C,"="&amp;+A47)</f>
        <v>0</v>
      </c>
      <c r="Q47" s="156">
        <f>IF(P47=0,O47,P47)</f>
        <v>7.6037999999999979</v>
      </c>
      <c r="R47" s="156">
        <f t="shared" si="7"/>
        <v>60.179998962842447</v>
      </c>
      <c r="S47" s="157">
        <f>1000000*Q47/$H$4</f>
        <v>253459.99999999994</v>
      </c>
      <c r="T47" s="163">
        <f>T46*(1-$H$17)</f>
        <v>0.37203581442197847</v>
      </c>
      <c r="U47" s="161">
        <f>SUMIFS(CFs!E:E,CFs!A:A,"="&amp;$A$1,CFs!B:B,"="&amp;+A47)</f>
        <v>0</v>
      </c>
      <c r="V47" s="161">
        <f>IF(U47=0,(1-$H$17)*AVERAGE(V44:V46),U47)</f>
        <v>0.48078747844782749</v>
      </c>
      <c r="W47" s="161">
        <f t="shared" si="8"/>
        <v>0.48078747844782749</v>
      </c>
      <c r="X47" s="162">
        <f>W47*$H$6*8760</f>
        <v>126350.94933608906</v>
      </c>
      <c r="AA47" s="15"/>
      <c r="AC47" s="154">
        <f t="shared" si="11"/>
        <v>8.1709437051547695</v>
      </c>
      <c r="AD47" s="14">
        <f>(AE47*$H$4)/1000000</f>
        <v>7.6037999999999979</v>
      </c>
      <c r="AE47" s="170">
        <f t="shared" si="10"/>
        <v>253459.99999999994</v>
      </c>
    </row>
    <row r="48" spans="1:31" ht="15" customHeight="1" x14ac:dyDescent="0.25">
      <c r="A48" s="46">
        <f t="shared" si="9"/>
        <v>13</v>
      </c>
      <c r="B48" s="47">
        <f>1/(1+$H$13)^(A48-1)</f>
        <v>0.55429816775273022</v>
      </c>
      <c r="C48" s="54"/>
      <c r="D48" s="55">
        <f>IF(A48&lt;=($H$16),X48,0)</f>
        <v>125069.99448178544</v>
      </c>
      <c r="E48" s="55">
        <f t="shared" si="4"/>
        <v>69326.068782097747</v>
      </c>
      <c r="F48" s="50"/>
      <c r="G48" s="56">
        <f>IF(A48&lt;=($H$16),IF(ISERROR($B$12),AC48,Q48),0)</f>
        <v>7.7537999999999982</v>
      </c>
      <c r="H48" s="49"/>
      <c r="I48" s="49"/>
      <c r="J48" s="56"/>
      <c r="K48" s="56">
        <f t="shared" si="5"/>
        <v>4.2979171331211186</v>
      </c>
      <c r="L48" s="195"/>
      <c r="M48" s="57" t="str">
        <f>IF(A48=$H$16,$M$30,"")</f>
        <v/>
      </c>
      <c r="N48" s="57" t="str">
        <f>IF(A48=$H$16,M48/(1+$H$13)^A48,"")</f>
        <v/>
      </c>
      <c r="O48" s="155">
        <f t="shared" si="6"/>
        <v>7.7537999999999982</v>
      </c>
      <c r="P48" s="155">
        <f>SUMIFS(Financials!L:L,Financials!A:A,"="&amp;$A$1,Financials!C:C,"="&amp;+A48)</f>
        <v>0</v>
      </c>
      <c r="Q48" s="156">
        <f>IF(P48=0,O48,P48)</f>
        <v>7.7537999999999982</v>
      </c>
      <c r="R48" s="156">
        <f t="shared" si="7"/>
        <v>61.995685153158156</v>
      </c>
      <c r="S48" s="157">
        <f>1000000*Q48/$H$4</f>
        <v>258459.99999999994</v>
      </c>
      <c r="T48" s="163">
        <f>T47*(1-$H$17)</f>
        <v>0.36422306231911694</v>
      </c>
      <c r="U48" s="161">
        <f>SUMIFS(CFs!E:E,CFs!A:A,"="&amp;$A$1,CFs!B:B,"="&amp;+A48)</f>
        <v>0</v>
      </c>
      <c r="V48" s="161">
        <f>IF(U48=0,(1-$H$17)*AVERAGE(V45:V47),U48)</f>
        <v>0.47591322101136013</v>
      </c>
      <c r="W48" s="161">
        <f t="shared" si="8"/>
        <v>0.47591322101136013</v>
      </c>
      <c r="X48" s="162">
        <f>W48*$H$6*8760</f>
        <v>125069.99448178544</v>
      </c>
      <c r="AA48" s="15"/>
      <c r="AC48" s="154">
        <f t="shared" si="11"/>
        <v>8.1709437051547695</v>
      </c>
      <c r="AD48" s="14">
        <f>(AE48*$H$4)/1000000</f>
        <v>7.7537999999999982</v>
      </c>
      <c r="AE48" s="170">
        <f t="shared" si="10"/>
        <v>258459.99999999994</v>
      </c>
    </row>
    <row r="49" spans="1:31" ht="15" customHeight="1" x14ac:dyDescent="0.25">
      <c r="A49" s="46">
        <f t="shared" si="9"/>
        <v>14</v>
      </c>
      <c r="B49" s="47">
        <f>1/(1+$H$13)^(A49-1)</f>
        <v>0.52770198757876075</v>
      </c>
      <c r="C49" s="54"/>
      <c r="D49" s="55">
        <f>IF(A49&lt;=($H$16),X49,0)</f>
        <v>123742.22424698</v>
      </c>
      <c r="E49" s="55">
        <f t="shared" si="4"/>
        <v>65299.017682548067</v>
      </c>
      <c r="F49" s="50"/>
      <c r="G49" s="56">
        <f>IF(A49&lt;=($H$16),IF(ISERROR($B$12),AC49,Q49),0)</f>
        <v>7.9037999999999977</v>
      </c>
      <c r="H49" s="49"/>
      <c r="I49" s="49"/>
      <c r="J49" s="56"/>
      <c r="K49" s="56">
        <f t="shared" si="5"/>
        <v>4.1708509694250075</v>
      </c>
      <c r="L49" s="195"/>
      <c r="M49" s="57" t="str">
        <f>IF(A49=$H$16,$M$30,"")</f>
        <v/>
      </c>
      <c r="N49" s="57" t="str">
        <f>IF(A49=$H$16,M49/(1+$H$13)^A49,"")</f>
        <v/>
      </c>
      <c r="O49" s="155">
        <f t="shared" si="6"/>
        <v>7.9037999999999977</v>
      </c>
      <c r="P49" s="155">
        <f>SUMIFS(Financials!L:L,Financials!A:A,"="&amp;$A$1,Financials!C:C,"="&amp;+A49)</f>
        <v>0</v>
      </c>
      <c r="Q49" s="156">
        <f>IF(P49=0,O49,P49)</f>
        <v>7.9037999999999977</v>
      </c>
      <c r="R49" s="156">
        <f t="shared" si="7"/>
        <v>63.873104335223672</v>
      </c>
      <c r="S49" s="157">
        <f>1000000*Q49/$H$4</f>
        <v>263459.99999999994</v>
      </c>
      <c r="T49" s="163">
        <f>T48*(1-$H$17)</f>
        <v>0.35657437801041547</v>
      </c>
      <c r="U49" s="161">
        <f>SUMIFS(CFs!E:E,CFs!A:A,"="&amp;$A$1,CFs!B:B,"="&amp;+A49)</f>
        <v>0</v>
      </c>
      <c r="V49" s="161">
        <f>IF(U49=0,(1-$H$17)*AVERAGE(V46:V48),U49)</f>
        <v>0.47086082285761033</v>
      </c>
      <c r="W49" s="161">
        <f t="shared" si="8"/>
        <v>0.47086082285761033</v>
      </c>
      <c r="X49" s="162">
        <f>W49*$H$6*8760</f>
        <v>123742.22424698</v>
      </c>
      <c r="Z49" s="16"/>
      <c r="AA49" s="15"/>
      <c r="AC49" s="154">
        <f t="shared" si="11"/>
        <v>8.1709437051547695</v>
      </c>
      <c r="AD49" s="14">
        <f>(AE49*$H$4)/1000000</f>
        <v>7.9037999999999977</v>
      </c>
      <c r="AE49" s="170">
        <f t="shared" si="10"/>
        <v>263459.99999999994</v>
      </c>
    </row>
    <row r="50" spans="1:31" ht="15" customHeight="1" x14ac:dyDescent="0.25">
      <c r="A50" s="46">
        <f t="shared" si="9"/>
        <v>15</v>
      </c>
      <c r="B50" s="47">
        <f>1/(1+$H$13)^(A50-1)</f>
        <v>0.50238193790818808</v>
      </c>
      <c r="C50" s="54"/>
      <c r="D50" s="55">
        <f>IF(A50&lt;=($H$16),X50,0)</f>
        <v>122428.24717849751</v>
      </c>
      <c r="E50" s="55">
        <f t="shared" si="4"/>
        <v>61505.740072236236</v>
      </c>
      <c r="F50" s="50"/>
      <c r="G50" s="56">
        <f>IF(A50&lt;=($H$16),IF(ISERROR($B$12),AC50,Q50),0)</f>
        <v>8.053799999999999</v>
      </c>
      <c r="H50" s="49"/>
      <c r="I50" s="49"/>
      <c r="J50" s="56"/>
      <c r="K50" s="56">
        <f t="shared" si="5"/>
        <v>4.046083651524965</v>
      </c>
      <c r="L50" s="195"/>
      <c r="M50" s="57" t="str">
        <f>IF(A50=$H$16,$M$30,"")</f>
        <v/>
      </c>
      <c r="N50" s="57" t="str">
        <f>IF(A50=$H$16,M50/(1+$H$13)^A50,"")</f>
        <v/>
      </c>
      <c r="O50" s="155">
        <f t="shared" si="6"/>
        <v>8.053799999999999</v>
      </c>
      <c r="P50" s="155">
        <f>SUMIFS(Financials!L:L,Financials!A:A,"="&amp;$A$1,Financials!C:C,"="&amp;+A50)</f>
        <v>0</v>
      </c>
      <c r="Q50" s="156">
        <f>IF(P50=0,O50,P50)</f>
        <v>8.053799999999999</v>
      </c>
      <c r="R50" s="156">
        <f t="shared" si="7"/>
        <v>65.783838171412739</v>
      </c>
      <c r="S50" s="157">
        <f>1000000*Q50/$H$4</f>
        <v>268459.99999999994</v>
      </c>
      <c r="T50" s="163">
        <f>T49*(1-$H$17)</f>
        <v>0.34908631607219676</v>
      </c>
      <c r="U50" s="161">
        <f>SUMIFS(CFs!E:E,CFs!A:A,"="&amp;$A$1,CFs!B:B,"="&amp;+A50)</f>
        <v>0</v>
      </c>
      <c r="V50" s="161">
        <f>IF(U50=0,(1-$H$17)*AVERAGE(V47:V49),U50)</f>
        <v>0.46586091011604835</v>
      </c>
      <c r="W50" s="161">
        <f t="shared" si="8"/>
        <v>0.46586091011604835</v>
      </c>
      <c r="X50" s="162">
        <f>W50*$H$6*8760</f>
        <v>122428.24717849751</v>
      </c>
      <c r="AA50" s="15"/>
      <c r="AC50" s="154">
        <f t="shared" si="11"/>
        <v>8.1709437051547695</v>
      </c>
      <c r="AD50" s="14">
        <f>(AE50*$H$4)/1000000</f>
        <v>8.053799999999999</v>
      </c>
      <c r="AE50" s="170">
        <f t="shared" si="10"/>
        <v>268459.99999999994</v>
      </c>
    </row>
    <row r="51" spans="1:31" ht="15" customHeight="1" x14ac:dyDescent="0.25">
      <c r="A51" s="46">
        <f t="shared" si="9"/>
        <v>16</v>
      </c>
      <c r="B51" s="47">
        <f>1/(1+$H$13)^(A51-1)</f>
        <v>0.47827678780292082</v>
      </c>
      <c r="C51" s="54"/>
      <c r="D51" s="55">
        <f>IF(A51&lt;=($H$16),X51,0)</f>
        <v>121148.13870773681</v>
      </c>
      <c r="E51" s="55">
        <f t="shared" si="4"/>
        <v>57942.342629439059</v>
      </c>
      <c r="F51" s="50"/>
      <c r="G51" s="56">
        <f>IF(A51&lt;=($H$16),IF(ISERROR($B$12),AC51,Q51),0)</f>
        <v>8.2037999999999975</v>
      </c>
      <c r="H51" s="49"/>
      <c r="I51" s="49"/>
      <c r="J51" s="56"/>
      <c r="K51" s="56">
        <f t="shared" si="5"/>
        <v>3.9236871117776007</v>
      </c>
      <c r="L51" s="195"/>
      <c r="M51" s="57" t="str">
        <f>IF(A51=$H$16,$M$30,"")</f>
        <v/>
      </c>
      <c r="N51" s="57" t="str">
        <f>IF(A51=$H$16,M51/(1+$H$13)^A51,"")</f>
        <v/>
      </c>
      <c r="O51" s="155">
        <f t="shared" si="6"/>
        <v>8.2037999999999975</v>
      </c>
      <c r="P51" s="155">
        <f>SUMIFS(Financials!L:L,Financials!A:A,"="&amp;$A$1,Financials!C:C,"="&amp;+A51)</f>
        <v>0</v>
      </c>
      <c r="Q51" s="156">
        <f>IF(P51=0,O51,P51)</f>
        <v>8.2037999999999975</v>
      </c>
      <c r="R51" s="156">
        <f t="shared" si="7"/>
        <v>67.717094851875615</v>
      </c>
      <c r="S51" s="157">
        <f>1000000*Q51/$H$4</f>
        <v>273459.99999999988</v>
      </c>
      <c r="T51" s="163">
        <f>T50*(1-$H$17)</f>
        <v>0.34175550343468064</v>
      </c>
      <c r="U51" s="161">
        <f>SUMIFS(CFs!E:E,CFs!A:A,"="&amp;$A$1,CFs!B:B,"="&amp;+A51)</f>
        <v>0</v>
      </c>
      <c r="V51" s="161">
        <f>IF(U51=0,(1-$H$17)*AVERAGE(V48:V50),U51)</f>
        <v>0.46098987331711111</v>
      </c>
      <c r="W51" s="161">
        <f t="shared" si="8"/>
        <v>0.46098987331711111</v>
      </c>
      <c r="X51" s="162">
        <f>W51*$H$6*8760</f>
        <v>121148.13870773681</v>
      </c>
      <c r="AA51" s="15"/>
      <c r="AC51" s="154">
        <f t="shared" si="11"/>
        <v>8.1709437051547695</v>
      </c>
      <c r="AD51" s="14">
        <f>(AE51*$H$4)/1000000</f>
        <v>8.2037999999999975</v>
      </c>
      <c r="AE51" s="170">
        <f t="shared" si="10"/>
        <v>273459.99999999994</v>
      </c>
    </row>
    <row r="52" spans="1:31" ht="15" customHeight="1" x14ac:dyDescent="0.25">
      <c r="A52" s="46">
        <f t="shared" si="9"/>
        <v>17</v>
      </c>
      <c r="B52" s="47">
        <f>1/(1+$H$13)^(A52-1)</f>
        <v>0.45532824429067104</v>
      </c>
      <c r="C52" s="54"/>
      <c r="D52" s="55">
        <f>IF(A52&lt;=($H$16),X52,0)</f>
        <v>119868.30644013891</v>
      </c>
      <c r="E52" s="55">
        <f t="shared" si="4"/>
        <v>54579.425517484589</v>
      </c>
      <c r="F52" s="50"/>
      <c r="G52" s="56">
        <f>IF(A52&lt;=($H$16),IF(ISERROR($B$12),AC52,Q52),0)</f>
        <v>8.3537999999999979</v>
      </c>
      <c r="H52" s="49"/>
      <c r="I52" s="49"/>
      <c r="J52" s="56"/>
      <c r="K52" s="56">
        <f t="shared" si="5"/>
        <v>3.8037210871554068</v>
      </c>
      <c r="L52" s="195"/>
      <c r="M52" s="57" t="str">
        <f>IF(A52=$H$16,$M$30,"")</f>
        <v/>
      </c>
      <c r="N52" s="57" t="str">
        <f>IF(A52=$H$16,M52/(1+$H$13)^A52,"")</f>
        <v/>
      </c>
      <c r="O52" s="155">
        <f t="shared" si="6"/>
        <v>8.3537999999999979</v>
      </c>
      <c r="P52" s="155">
        <f>SUMIFS(Financials!L:L,Financials!A:A,"="&amp;$A$1,Financials!C:C,"="&amp;+A52)</f>
        <v>0</v>
      </c>
      <c r="Q52" s="156">
        <f>IF(P52=0,O52,P52)</f>
        <v>8.3537999999999979</v>
      </c>
      <c r="R52" s="156">
        <f t="shared" si="7"/>
        <v>69.691482662031319</v>
      </c>
      <c r="S52" s="157">
        <f>1000000*Q52/$H$4</f>
        <v>278459.99999999994</v>
      </c>
      <c r="T52" s="163">
        <f>T51*(1-$H$17)</f>
        <v>0.33457863786255232</v>
      </c>
      <c r="U52" s="161">
        <f>SUMIFS(CFs!E:E,CFs!A:A,"="&amp;$A$1,CFs!B:B,"="&amp;+A52)</f>
        <v>0</v>
      </c>
      <c r="V52" s="161">
        <f>IF(U52=0,(1-$H$17)*AVERAGE(V49:V51),U52)</f>
        <v>0.45611988751955451</v>
      </c>
      <c r="W52" s="161">
        <f t="shared" si="8"/>
        <v>0.45611988751955451</v>
      </c>
      <c r="X52" s="162">
        <f>W52*$H$6*8760</f>
        <v>119868.30644013891</v>
      </c>
      <c r="AA52" s="15"/>
      <c r="AC52" s="154">
        <f t="shared" si="11"/>
        <v>8.1709437051547695</v>
      </c>
      <c r="AD52" s="14">
        <f>(AE52*$H$4)/1000000</f>
        <v>8.3537999999999979</v>
      </c>
      <c r="AE52" s="170">
        <f t="shared" si="10"/>
        <v>278459.99999999994</v>
      </c>
    </row>
    <row r="53" spans="1:31" ht="15" customHeight="1" x14ac:dyDescent="0.25">
      <c r="A53" s="46">
        <f t="shared" si="9"/>
        <v>18</v>
      </c>
      <c r="B53" s="47">
        <f>1/(1+$H$13)^(A53-1)</f>
        <v>0.43348081139629763</v>
      </c>
      <c r="C53" s="54"/>
      <c r="D53" s="55">
        <f>IF(A53&lt;=($H$16),X53,0)</f>
        <v>118604.11792917312</v>
      </c>
      <c r="E53" s="55">
        <f t="shared" si="4"/>
        <v>51412.609274880138</v>
      </c>
      <c r="F53" s="50"/>
      <c r="G53" s="56">
        <f>IF(A53&lt;=($H$16),IF(ISERROR($B$12),AC53,Q53),0)</f>
        <v>8.5037999999999982</v>
      </c>
      <c r="H53" s="49"/>
      <c r="I53" s="49"/>
      <c r="J53" s="56"/>
      <c r="K53" s="56">
        <f t="shared" si="5"/>
        <v>3.6862341239518348</v>
      </c>
      <c r="L53" s="195"/>
      <c r="M53" s="57" t="str">
        <f>IF(A53=$H$16,$M$30,"")</f>
        <v/>
      </c>
      <c r="N53" s="57" t="str">
        <f>IF(A53=$H$16,M53/(1+$H$13)^A53,"")</f>
        <v/>
      </c>
      <c r="O53" s="155">
        <f t="shared" si="6"/>
        <v>8.5037999999999982</v>
      </c>
      <c r="P53" s="155">
        <f>SUMIFS(Financials!L:L,Financials!A:A,"="&amp;$A$1,Financials!C:C,"="&amp;+A53)</f>
        <v>0</v>
      </c>
      <c r="Q53" s="156">
        <f>IF(P53=0,O53,P53)</f>
        <v>8.5037999999999982</v>
      </c>
      <c r="R53" s="156">
        <f t="shared" si="7"/>
        <v>71.699028233389129</v>
      </c>
      <c r="S53" s="157">
        <f>1000000*Q53/$H$4</f>
        <v>283459.99999999994</v>
      </c>
      <c r="T53" s="163">
        <f>T52*(1-$H$17)</f>
        <v>0.32755248646743873</v>
      </c>
      <c r="U53" s="161">
        <f>SUMIFS(CFs!E:E,CFs!A:A,"="&amp;$A$1,CFs!B:B,"="&amp;+A53)</f>
        <v>0</v>
      </c>
      <c r="V53" s="161">
        <f>IF(U53=0,(1-$H$17)*AVERAGE(V50:V52),U53)</f>
        <v>0.45130942895423565</v>
      </c>
      <c r="W53" s="161">
        <f t="shared" si="8"/>
        <v>0.45130942895423565</v>
      </c>
      <c r="X53" s="162">
        <f>W53*$H$6*8760</f>
        <v>118604.11792917312</v>
      </c>
      <c r="AA53" s="15"/>
      <c r="AC53" s="154">
        <f t="shared" si="11"/>
        <v>8.1709437051547695</v>
      </c>
      <c r="AD53" s="14">
        <f>(AE53*$H$4)/1000000</f>
        <v>8.5037999999999982</v>
      </c>
      <c r="AE53" s="170">
        <f t="shared" si="10"/>
        <v>283459.99999999994</v>
      </c>
    </row>
    <row r="54" spans="1:31" ht="15" customHeight="1" x14ac:dyDescent="0.25">
      <c r="A54" s="46">
        <f t="shared" si="9"/>
        <v>19</v>
      </c>
      <c r="B54" s="47">
        <f>1/(1+$H$13)^(A54-1)</f>
        <v>0.41268165593706935</v>
      </c>
      <c r="C54" s="54"/>
      <c r="D54" s="55">
        <f>IF(A54&lt;=($H$16),X54,0)</f>
        <v>117356.17708414362</v>
      </c>
      <c r="E54" s="55">
        <f t="shared" si="4"/>
        <v>48430.741493528338</v>
      </c>
      <c r="F54" s="50"/>
      <c r="G54" s="56">
        <f>IF(A54&lt;=($H$16),IF(ISERROR($B$12),AC54,Q54),0)</f>
        <v>8.6537999999999986</v>
      </c>
      <c r="H54" s="49"/>
      <c r="I54" s="49"/>
      <c r="J54" s="56"/>
      <c r="K54" s="56">
        <f t="shared" si="5"/>
        <v>3.57126451414821</v>
      </c>
      <c r="L54" s="195"/>
      <c r="M54" s="57" t="str">
        <f>IF(A54=$H$16,$M$30,"")</f>
        <v/>
      </c>
      <c r="N54" s="57" t="str">
        <f>IF(A54=$H$16,M54/(1+$H$13)^A54,"")</f>
        <v/>
      </c>
      <c r="O54" s="155">
        <f t="shared" si="6"/>
        <v>8.6537999999999986</v>
      </c>
      <c r="P54" s="155">
        <f>SUMIFS(Financials!L:L,Financials!A:A,"="&amp;$A$1,Financials!C:C,"="&amp;+A54)</f>
        <v>0</v>
      </c>
      <c r="Q54" s="156">
        <f>IF(P54=0,O54,P54)</f>
        <v>8.6537999999999986</v>
      </c>
      <c r="R54" s="156">
        <f t="shared" si="7"/>
        <v>73.739620827928633</v>
      </c>
      <c r="S54" s="157">
        <f>1000000*Q54/$H$4</f>
        <v>288459.99999999994</v>
      </c>
      <c r="T54" s="163">
        <f>T53*(1-$H$17)</f>
        <v>0.32067388425162252</v>
      </c>
      <c r="U54" s="161">
        <f>SUMIFS(CFs!E:E,CFs!A:A,"="&amp;$A$1,CFs!B:B,"="&amp;+A54)</f>
        <v>0</v>
      </c>
      <c r="V54" s="161">
        <f>IF(U54=0,(1-$H$17)*AVERAGE(V51:V53),U54)</f>
        <v>0.44656079560176415</v>
      </c>
      <c r="W54" s="161">
        <f t="shared" si="8"/>
        <v>0.44656079560176415</v>
      </c>
      <c r="X54" s="162">
        <f>W54*$H$6*8760</f>
        <v>117356.17708414362</v>
      </c>
      <c r="AA54" s="15"/>
      <c r="AC54" s="154">
        <f t="shared" si="11"/>
        <v>8.1709437051547695</v>
      </c>
      <c r="AD54" s="14">
        <f>(AE54*$H$4)/1000000</f>
        <v>8.6537999999999986</v>
      </c>
      <c r="AE54" s="170">
        <f t="shared" si="10"/>
        <v>288459.99999999994</v>
      </c>
    </row>
    <row r="55" spans="1:31" ht="15" customHeight="1" x14ac:dyDescent="0.25">
      <c r="A55" s="46">
        <f t="shared" si="9"/>
        <v>20</v>
      </c>
      <c r="B55" s="47">
        <f>1/(1+$H$13)^(A55-1)</f>
        <v>0.39288047975730139</v>
      </c>
      <c r="C55" s="54"/>
      <c r="D55" s="55">
        <f>IF(A55&lt;=($H$16),X55,0)</f>
        <v>116118.73360764435</v>
      </c>
      <c r="E55" s="55">
        <f t="shared" si="4"/>
        <v>45620.78376858159</v>
      </c>
      <c r="F55" s="50"/>
      <c r="G55" s="56">
        <f>IF(A55&lt;=($H$16),IF(ISERROR($B$12),AC55,Q55),0)</f>
        <v>8.803799999999999</v>
      </c>
      <c r="H55" s="49"/>
      <c r="I55" s="49"/>
      <c r="J55" s="56" t="str">
        <f>IF(A55&lt;=($H$16-1),SUM(F55:H55),"")</f>
        <v/>
      </c>
      <c r="K55" s="56">
        <f t="shared" si="5"/>
        <v>3.4588411676873294</v>
      </c>
      <c r="L55" s="195"/>
      <c r="M55" s="57">
        <f>IF(A55=$H$16,$M$30,"")</f>
        <v>0</v>
      </c>
      <c r="N55" s="57">
        <f>IF(A55=$H$16,M55/(1+$H$13)^A55,"")</f>
        <v>0</v>
      </c>
      <c r="O55" s="155">
        <f t="shared" si="6"/>
        <v>8.803799999999999</v>
      </c>
      <c r="P55" s="155">
        <f>SUMIFS(Financials!L:L,Financials!A:A,"="&amp;$A$1,Financials!C:C,"="&amp;+A55)</f>
        <v>0</v>
      </c>
      <c r="Q55" s="156">
        <f>IF(P55=0,O55,P55)</f>
        <v>8.803799999999999</v>
      </c>
      <c r="R55" s="156">
        <f t="shared" si="7"/>
        <v>75.817223685433177</v>
      </c>
      <c r="S55" s="157">
        <f>1000000*Q55/$H$4</f>
        <v>293459.99999999994</v>
      </c>
      <c r="T55" s="163">
        <f>T54*(1-$H$17)</f>
        <v>0.31393973268233843</v>
      </c>
      <c r="U55" s="161">
        <f>SUMIFS(CFs!E:E,CFs!A:A,"="&amp;$A$1,CFs!B:B,"="&amp;+A55)</f>
        <v>0</v>
      </c>
      <c r="V55" s="161">
        <f>IF(U55=0,(1-$H$17)*AVERAGE(V52:V54),U55)</f>
        <v>0.44185210657398916</v>
      </c>
      <c r="W55" s="161">
        <f t="shared" si="8"/>
        <v>0.44185210657398916</v>
      </c>
      <c r="X55" s="162">
        <f>W55*$H$6*8760</f>
        <v>116118.73360764435</v>
      </c>
      <c r="AA55" s="15"/>
      <c r="AC55" s="154">
        <f t="shared" si="11"/>
        <v>8.1709437051547695</v>
      </c>
      <c r="AD55" s="14">
        <f>(AE55*$H$4)/1000000</f>
        <v>8.803799999999999</v>
      </c>
      <c r="AE55" s="170">
        <f t="shared" si="10"/>
        <v>293459.99999999994</v>
      </c>
    </row>
    <row r="56" spans="1:31" ht="15" customHeight="1" x14ac:dyDescent="0.25">
      <c r="A56" s="46">
        <f t="shared" si="9"/>
        <v>21</v>
      </c>
      <c r="B56" s="47">
        <f>1/(1+$H$13)^(A56-1)</f>
        <v>0.37402939809339436</v>
      </c>
      <c r="C56" s="54"/>
      <c r="D56" s="55">
        <f>IF(A56&lt;=($H$16),X56,0)</f>
        <v>0</v>
      </c>
      <c r="E56" s="55">
        <f t="shared" si="4"/>
        <v>0</v>
      </c>
      <c r="F56" s="50"/>
      <c r="G56" s="56">
        <f>IF(A56&lt;=($H$16),IF(ISERROR($B$12),AC56,Q56),0)</f>
        <v>0</v>
      </c>
      <c r="H56" s="49"/>
      <c r="I56" s="49"/>
      <c r="J56" s="56" t="str">
        <f>IF(A56&lt;=($H$16-1),SUM(F56:H56),"")</f>
        <v/>
      </c>
      <c r="K56" s="56">
        <f t="shared" si="5"/>
        <v>0</v>
      </c>
      <c r="L56" s="195"/>
      <c r="M56" s="57" t="str">
        <f>IF(A56=$H$16,$M$30,"")</f>
        <v/>
      </c>
      <c r="N56" s="57" t="str">
        <f>IF(A56=$H$16,M56/(1+$H$13)^A56,"")</f>
        <v/>
      </c>
      <c r="O56" s="155">
        <f t="shared" si="6"/>
        <v>8.9537999999999975</v>
      </c>
      <c r="P56" s="155">
        <f>SUMIFS(Financials!L:L,Financials!A:A,"="&amp;$A$1,Financials!C:C,"="&amp;+A56)</f>
        <v>0</v>
      </c>
      <c r="Q56" s="156">
        <f>IF(P56=0,O56,P56)</f>
        <v>8.9537999999999975</v>
      </c>
      <c r="R56" s="156" t="e">
        <f t="shared" ref="R56:R64" si="12">1000000*Q56/D56</f>
        <v>#DIV/0!</v>
      </c>
      <c r="S56" s="157">
        <f>1000000*Q56/$H$4</f>
        <v>298459.99999999994</v>
      </c>
      <c r="T56" s="163">
        <f>T55*(1-$H$17)</f>
        <v>0.30734699829600931</v>
      </c>
      <c r="U56" s="161">
        <f>SUMIFS(CFs!E:E,CFs!A:A,"="&amp;$A$1,CFs!B:B,"="&amp;+A56)</f>
        <v>0</v>
      </c>
      <c r="V56" s="161">
        <f>IF(U56=0,(1-$H$17)*AVERAGE(V53:V55),U56)</f>
        <v>0.437196054058753</v>
      </c>
      <c r="W56" s="161">
        <f t="shared" si="8"/>
        <v>0.437196054058753</v>
      </c>
      <c r="X56" s="162">
        <f>W56*$H$6*8760</f>
        <v>114895.12300664029</v>
      </c>
      <c r="AC56" s="154">
        <f t="shared" si="11"/>
        <v>8.1709437051547695</v>
      </c>
      <c r="AD56" s="14">
        <f>(AE56*$H$4)/1000000</f>
        <v>8.9537999999999975</v>
      </c>
      <c r="AE56" s="170">
        <f t="shared" si="10"/>
        <v>298459.99999999994</v>
      </c>
    </row>
    <row r="57" spans="1:31" ht="15" customHeight="1" x14ac:dyDescent="0.25">
      <c r="A57" s="46">
        <f t="shared" si="9"/>
        <v>22</v>
      </c>
      <c r="B57" s="47">
        <f>1/(1+$H$13)^(A57-1)</f>
        <v>0.35608282377512795</v>
      </c>
      <c r="C57" s="54"/>
      <c r="D57" s="55">
        <f>IF(A57&lt;=($H$16),X57,0)</f>
        <v>0</v>
      </c>
      <c r="E57" s="55">
        <f t="shared" si="4"/>
        <v>0</v>
      </c>
      <c r="F57" s="50"/>
      <c r="G57" s="56">
        <f>IF(A57&lt;=($H$16),IF(ISERROR($B$12),AC57,Q57),0)</f>
        <v>0</v>
      </c>
      <c r="H57" s="49"/>
      <c r="I57" s="49"/>
      <c r="J57" s="56" t="str">
        <f>IF(A57&lt;=($H$16-1),SUM(F57:H57),"")</f>
        <v/>
      </c>
      <c r="K57" s="56">
        <f t="shared" si="5"/>
        <v>0</v>
      </c>
      <c r="L57" s="195"/>
      <c r="M57" s="57" t="str">
        <f>IF(A57=$H$16,$M$30,"")</f>
        <v/>
      </c>
      <c r="N57" s="57" t="str">
        <f>IF(A57=$H$16,M57/(1+$H$13)^A57,"")</f>
        <v/>
      </c>
      <c r="O57" s="155">
        <f t="shared" si="6"/>
        <v>9.1037999999999979</v>
      </c>
      <c r="P57" s="155">
        <f>SUMIFS(Financials!L:L,Financials!A:A,"="&amp;$A$1,Financials!C:C,"="&amp;+A57)</f>
        <v>0</v>
      </c>
      <c r="Q57" s="156">
        <f>IF(P57=0,O57,P57)</f>
        <v>9.1037999999999979</v>
      </c>
      <c r="R57" s="156" t="e">
        <f t="shared" si="12"/>
        <v>#DIV/0!</v>
      </c>
      <c r="S57" s="157">
        <f>1000000*Q57/$H$4</f>
        <v>303459.99999999994</v>
      </c>
      <c r="T57" s="163">
        <f>T56*(1-$H$17)</f>
        <v>0.30089271133179313</v>
      </c>
      <c r="U57" s="161">
        <f>SUMIFS(CFs!E:E,CFs!A:A,"="&amp;$A$1,CFs!B:B,"="&amp;+A57)</f>
        <v>0</v>
      </c>
      <c r="V57" s="161">
        <f>IF(U57=0,(1-$H$17)*AVERAGE(V54:V56),U57)</f>
        <v>0.43259038938452726</v>
      </c>
      <c r="W57" s="161">
        <f t="shared" si="8"/>
        <v>0.43259038938452726</v>
      </c>
      <c r="X57" s="162">
        <f>W57*$H$6*8760</f>
        <v>113684.75433025377</v>
      </c>
      <c r="AC57" s="154">
        <f t="shared" si="11"/>
        <v>8.1709437051547695</v>
      </c>
      <c r="AD57" s="14">
        <f>(AE57*$H$4)/1000000</f>
        <v>9.1037999999999979</v>
      </c>
      <c r="AE57" s="170">
        <f t="shared" si="10"/>
        <v>303459.99999999994</v>
      </c>
    </row>
    <row r="58" spans="1:31" ht="15" customHeight="1" x14ac:dyDescent="0.25">
      <c r="A58" s="46">
        <f t="shared" si="9"/>
        <v>23</v>
      </c>
      <c r="B58" s="47">
        <f>1/(1+$H$13)^(A58-1)</f>
        <v>0.33899735698317585</v>
      </c>
      <c r="C58" s="54"/>
      <c r="D58" s="55">
        <f>IF(A58&lt;=($H$16),X58,0)</f>
        <v>0</v>
      </c>
      <c r="E58" s="55">
        <f t="shared" si="4"/>
        <v>0</v>
      </c>
      <c r="F58" s="50"/>
      <c r="G58" s="56">
        <f>IF(A58&lt;=($H$16),IF(ISERROR($B$12),AC58,Q58),0)</f>
        <v>0</v>
      </c>
      <c r="H58" s="49"/>
      <c r="I58" s="49"/>
      <c r="J58" s="56" t="str">
        <f>IF(A58&lt;=($H$16-1),SUM(F58:H58),"")</f>
        <v/>
      </c>
      <c r="K58" s="56">
        <f t="shared" si="5"/>
        <v>0</v>
      </c>
      <c r="L58" s="195"/>
      <c r="M58" s="57" t="str">
        <f>IF(A58=$H$16,$M$30,"")</f>
        <v/>
      </c>
      <c r="N58" s="57" t="str">
        <f>IF(A58=$H$16,M58/(1+$H$13)^A58,"")</f>
        <v/>
      </c>
      <c r="O58" s="155">
        <f t="shared" si="6"/>
        <v>9.2537999999999982</v>
      </c>
      <c r="P58" s="155">
        <f>SUMIFS(Financials!L:L,Financials!A:A,"="&amp;$A$1,Financials!C:C,"="&amp;+A58)</f>
        <v>0</v>
      </c>
      <c r="Q58" s="156">
        <f>IF(P58=0,O58,P58)</f>
        <v>9.2537999999999982</v>
      </c>
      <c r="R58" s="156" t="e">
        <f t="shared" si="12"/>
        <v>#DIV/0!</v>
      </c>
      <c r="S58" s="157">
        <f>1000000*Q58/$H$4</f>
        <v>308459.99999999994</v>
      </c>
      <c r="T58" s="163">
        <f>T57*(1-$H$17)</f>
        <v>0.29457396439382549</v>
      </c>
      <c r="U58" s="161">
        <f>SUMIFS(CFs!E:E,CFs!A:A,"="&amp;$A$1,CFs!B:B,"="&amp;+A58)</f>
        <v>0</v>
      </c>
      <c r="V58" s="161">
        <f>IF(U58=0,(1-$H$17)*AVERAGE(V55:V57),U58)</f>
        <v>0.42803138015563552</v>
      </c>
      <c r="W58" s="161">
        <f t="shared" si="8"/>
        <v>0.42803138015563552</v>
      </c>
      <c r="X58" s="162">
        <f>W58*$H$6*8760</f>
        <v>112486.64670490101</v>
      </c>
      <c r="AC58" s="154">
        <f t="shared" si="11"/>
        <v>8.1709437051547695</v>
      </c>
      <c r="AD58" s="14">
        <f>(AE58*$H$4)/1000000</f>
        <v>9.2537999999999982</v>
      </c>
      <c r="AE58" s="170">
        <f t="shared" si="10"/>
        <v>308459.99999999994</v>
      </c>
    </row>
    <row r="59" spans="1:31" ht="15" customHeight="1" x14ac:dyDescent="0.25">
      <c r="A59" s="46">
        <f t="shared" si="9"/>
        <v>24</v>
      </c>
      <c r="B59" s="47">
        <f>1/(1+$H$13)^(A59-1)</f>
        <v>0.3227316802962451</v>
      </c>
      <c r="C59" s="54"/>
      <c r="D59" s="55">
        <f>IF(A59&lt;=($H$16),X59,0)</f>
        <v>0</v>
      </c>
      <c r="E59" s="55">
        <f t="shared" si="4"/>
        <v>0</v>
      </c>
      <c r="F59" s="50"/>
      <c r="G59" s="56">
        <f>IF(A59&lt;=($H$16),IF(ISERROR($B$12),AC59,Q59),0)</f>
        <v>0</v>
      </c>
      <c r="H59" s="49"/>
      <c r="I59" s="49"/>
      <c r="J59" s="56" t="str">
        <f>IF(A59&lt;=($H$16-1),SUM(F59:H59),"")</f>
        <v/>
      </c>
      <c r="K59" s="56">
        <f t="shared" si="5"/>
        <v>0</v>
      </c>
      <c r="L59" s="195"/>
      <c r="M59" s="57" t="str">
        <f>IF(A59=$H$16,$M$30,"")</f>
        <v/>
      </c>
      <c r="N59" s="57" t="str">
        <f>IF(A59=$H$16,M59/(1+$H$13)^A59,"")</f>
        <v/>
      </c>
      <c r="O59" s="155">
        <f t="shared" si="6"/>
        <v>9.4037999999999986</v>
      </c>
      <c r="P59" s="155">
        <f>SUMIFS(Financials!L:L,Financials!A:A,"="&amp;$A$1,Financials!C:C,"="&amp;+A59)</f>
        <v>0</v>
      </c>
      <c r="Q59" s="156">
        <f>IF(P59=0,O59,P59)</f>
        <v>9.4037999999999986</v>
      </c>
      <c r="R59" s="156" t="e">
        <f t="shared" si="12"/>
        <v>#DIV/0!</v>
      </c>
      <c r="S59" s="157">
        <f>1000000*Q59/$H$4</f>
        <v>313459.99999999994</v>
      </c>
      <c r="T59" s="163">
        <f>T58*(1-$H$17)</f>
        <v>0.28838791114155515</v>
      </c>
      <c r="U59" s="161">
        <f>SUMIFS(CFs!E:E,CFs!A:A,"="&amp;$A$1,CFs!B:B,"="&amp;+A59)</f>
        <v>0</v>
      </c>
      <c r="V59" s="161">
        <f>IF(U59=0,(1-$H$17)*AVERAGE(V56:V58),U59)</f>
        <v>0.42352121643444618</v>
      </c>
      <c r="W59" s="161">
        <f t="shared" si="8"/>
        <v>0.42352121643444618</v>
      </c>
      <c r="X59" s="162">
        <f>W59*$H$6*8760</f>
        <v>111301.37567897246</v>
      </c>
      <c r="AC59" s="154">
        <f t="shared" si="11"/>
        <v>8.1709437051547695</v>
      </c>
      <c r="AD59" s="14">
        <f>(AE59*$H$4)/1000000</f>
        <v>9.4037999999999986</v>
      </c>
      <c r="AE59" s="170">
        <f t="shared" si="10"/>
        <v>313459.99999999994</v>
      </c>
    </row>
    <row r="60" spans="1:31" ht="15" customHeight="1" x14ac:dyDescent="0.25">
      <c r="A60" s="46">
        <f t="shared" si="9"/>
        <v>25</v>
      </c>
      <c r="B60" s="47">
        <f>1/(1+$H$13)^(A60-1)</f>
        <v>0.30724645877403384</v>
      </c>
      <c r="C60" s="54"/>
      <c r="D60" s="55">
        <f>IF(A60&lt;=($H$16),X60,0)</f>
        <v>0</v>
      </c>
      <c r="E60" s="55">
        <f t="shared" si="4"/>
        <v>0</v>
      </c>
      <c r="F60" s="50"/>
      <c r="G60" s="56">
        <f>IF(A60&lt;=($H$16),IF(ISERROR($B$12),AC60,Q60),0)</f>
        <v>0</v>
      </c>
      <c r="H60" s="49"/>
      <c r="I60" s="49"/>
      <c r="J60" s="56" t="str">
        <f>IF(A60&lt;=($H$16-1),SUM(F60:H60),"")</f>
        <v/>
      </c>
      <c r="K60" s="56">
        <f t="shared" si="5"/>
        <v>0</v>
      </c>
      <c r="L60" s="195"/>
      <c r="M60" s="57" t="str">
        <f>IF(A60=$H$16,$M$30,"")</f>
        <v/>
      </c>
      <c r="N60" s="57" t="str">
        <f>IF(A60=$H$16,M60/(1+$H$13)^A60,"")</f>
        <v/>
      </c>
      <c r="O60" s="155">
        <f t="shared" si="6"/>
        <v>9.553799999999999</v>
      </c>
      <c r="P60" s="155">
        <f>SUMIFS(Financials!L:L,Financials!A:A,"="&amp;$A$1,Financials!C:C,"="&amp;+A60)</f>
        <v>0</v>
      </c>
      <c r="Q60" s="156">
        <f>IF(P60=0,O60,P60)</f>
        <v>9.553799999999999</v>
      </c>
      <c r="R60" s="156" t="e">
        <f t="shared" si="12"/>
        <v>#DIV/0!</v>
      </c>
      <c r="S60" s="157">
        <f>1000000*Q60/$H$4</f>
        <v>318459.99999999994</v>
      </c>
      <c r="T60" s="163">
        <f>T59*(1-$H$17)</f>
        <v>0.2823317650075825</v>
      </c>
      <c r="U60" s="161">
        <f>SUMIFS(CFs!E:E,CFs!A:A,"="&amp;$A$1,CFs!B:B,"="&amp;+A60)</f>
        <v>0</v>
      </c>
      <c r="V60" s="161">
        <f>IF(U60=0,(1-$H$17)*AVERAGE(V57:V59),U60)</f>
        <v>0.41905866108971407</v>
      </c>
      <c r="W60" s="161">
        <f t="shared" si="8"/>
        <v>0.41905866108971407</v>
      </c>
      <c r="X60" s="162">
        <f>W60*$H$6*8760</f>
        <v>110128.61613437685</v>
      </c>
      <c r="AC60" s="154">
        <f t="shared" si="11"/>
        <v>8.1709437051547695</v>
      </c>
      <c r="AD60" s="14">
        <f>(AE60*$H$4)/1000000</f>
        <v>9.553799999999999</v>
      </c>
      <c r="AE60" s="170">
        <f t="shared" si="10"/>
        <v>318459.99999999994</v>
      </c>
    </row>
    <row r="61" spans="1:31" ht="15" customHeight="1" x14ac:dyDescent="0.25">
      <c r="A61" s="46">
        <f t="shared" si="9"/>
        <v>26</v>
      </c>
      <c r="B61" s="47">
        <f>1/(1+$H$13)^(A61-1)</f>
        <v>0.29250424483438103</v>
      </c>
      <c r="C61" s="54"/>
      <c r="D61" s="55">
        <f>IF(A61&lt;=($H$16),X61,0)</f>
        <v>0</v>
      </c>
      <c r="E61" s="55">
        <f t="shared" si="4"/>
        <v>0</v>
      </c>
      <c r="F61" s="50"/>
      <c r="G61" s="56">
        <f>IF(A61&lt;=($H$16),IF(ISERROR($B$12),AC61,Q61),0)</f>
        <v>0</v>
      </c>
      <c r="H61" s="49"/>
      <c r="I61" s="49"/>
      <c r="J61" s="56" t="str">
        <f>IF(A61&lt;=($H$16-1),SUM(F61:H61),"")</f>
        <v/>
      </c>
      <c r="K61" s="56">
        <f t="shared" si="5"/>
        <v>0</v>
      </c>
      <c r="L61" s="195"/>
      <c r="M61" s="57" t="str">
        <f>IF(A61=$H$16,$M$30,"")</f>
        <v/>
      </c>
      <c r="N61" s="57" t="str">
        <f>IF(A61=$H$16,M61/(1+$H$13)^A61,"")</f>
        <v/>
      </c>
      <c r="O61" s="155">
        <f t="shared" si="6"/>
        <v>9.7037999999999975</v>
      </c>
      <c r="P61" s="155">
        <f>SUMIFS(Financials!L:L,Financials!A:A,"="&amp;$A$1,Financials!C:C,"="&amp;+A61)</f>
        <v>0</v>
      </c>
      <c r="Q61" s="156">
        <f>IF(P61=0,O61,P61)</f>
        <v>9.7037999999999975</v>
      </c>
      <c r="R61" s="156" t="e">
        <f t="shared" si="12"/>
        <v>#DIV/0!</v>
      </c>
      <c r="S61" s="157">
        <f>1000000*Q61/$H$4</f>
        <v>323459.99999999994</v>
      </c>
      <c r="T61" s="163">
        <f>T60*(1-$H$17)</f>
        <v>0.27640279794242328</v>
      </c>
      <c r="U61" s="161">
        <f>SUMIFS(CFs!E:E,CFs!A:A,"="&amp;$A$1,CFs!B:B,"="&amp;+A61)</f>
        <v>0</v>
      </c>
      <c r="V61" s="161">
        <f>IF(U61=0,(1-$H$17)*AVERAGE(V58:V60),U61)</f>
        <v>0.41464280708950663</v>
      </c>
      <c r="W61" s="161">
        <f t="shared" si="8"/>
        <v>0.41464280708950663</v>
      </c>
      <c r="X61" s="162">
        <f>W61*$H$6*8760</f>
        <v>108968.12970312234</v>
      </c>
      <c r="AC61" s="154">
        <f t="shared" si="11"/>
        <v>8.1709437051547695</v>
      </c>
      <c r="AD61" s="14">
        <f>(AE61*$H$4)/1000000</f>
        <v>9.7037999999999975</v>
      </c>
      <c r="AE61" s="170">
        <f t="shared" si="10"/>
        <v>323459.99999999994</v>
      </c>
    </row>
    <row r="62" spans="1:31" ht="15" customHeight="1" x14ac:dyDescent="0.25">
      <c r="A62" s="46">
        <f t="shared" si="9"/>
        <v>27</v>
      </c>
      <c r="B62" s="47">
        <f>1/(1+$H$13)^(A62-1)</f>
        <v>0.27846938769457452</v>
      </c>
      <c r="C62" s="54"/>
      <c r="D62" s="55">
        <f>IF(A62&lt;=($H$16),X62,0)</f>
        <v>0</v>
      </c>
      <c r="E62" s="55">
        <f t="shared" si="4"/>
        <v>0</v>
      </c>
      <c r="F62" s="50"/>
      <c r="G62" s="56">
        <f>IF(A62&lt;=($H$16),IF(ISERROR($B$12),AC62,Q62),0)</f>
        <v>0</v>
      </c>
      <c r="H62" s="49"/>
      <c r="I62" s="49"/>
      <c r="J62" s="56" t="str">
        <f>IF(A62&lt;=($H$16-1),SUM(F62:H62),"")</f>
        <v/>
      </c>
      <c r="K62" s="56">
        <f t="shared" si="5"/>
        <v>0</v>
      </c>
      <c r="L62" s="195"/>
      <c r="M62" s="57" t="str">
        <f>IF(A62=$H$16,$M$30,"")</f>
        <v/>
      </c>
      <c r="N62" s="57" t="str">
        <f>IF(A62=$H$16,M62/(1+$H$13)^A62,"")</f>
        <v/>
      </c>
      <c r="O62" s="155">
        <f t="shared" si="6"/>
        <v>9.8537999999999979</v>
      </c>
      <c r="P62" s="155">
        <f>SUMIFS(Financials!L:L,Financials!A:A,"="&amp;$A$1,Financials!C:C,"="&amp;+A62)</f>
        <v>0</v>
      </c>
      <c r="Q62" s="156">
        <f>IF(P62=0,O62,P62)</f>
        <v>9.8537999999999979</v>
      </c>
      <c r="R62" s="156" t="e">
        <f t="shared" si="12"/>
        <v>#DIV/0!</v>
      </c>
      <c r="S62" s="157">
        <f>1000000*Q62/$H$4</f>
        <v>328459.99999999994</v>
      </c>
      <c r="T62" s="163">
        <f>T61*(1-$H$17)</f>
        <v>0.27059833918563236</v>
      </c>
      <c r="U62" s="161">
        <f>SUMIFS(CFs!E:E,CFs!A:A,"="&amp;$A$1,CFs!B:B,"="&amp;+A62)</f>
        <v>0</v>
      </c>
      <c r="V62" s="161">
        <f>IF(U62=0,(1-$H$17)*AVERAGE(V59:V61),U62)</f>
        <v>0.4102736694122599</v>
      </c>
      <c r="W62" s="161">
        <f t="shared" si="8"/>
        <v>0.4102736694122599</v>
      </c>
      <c r="X62" s="162">
        <f>W62*$H$6*8760</f>
        <v>107819.9203215419</v>
      </c>
      <c r="AC62" s="154">
        <f t="shared" si="11"/>
        <v>8.1709437051547695</v>
      </c>
      <c r="AD62" s="14">
        <f>(AE62*$H$4)/1000000</f>
        <v>9.8537999999999979</v>
      </c>
      <c r="AE62" s="170">
        <f t="shared" si="10"/>
        <v>328459.99999999994</v>
      </c>
    </row>
    <row r="63" spans="1:31" ht="15" customHeight="1" x14ac:dyDescent="0.25">
      <c r="A63" s="46">
        <f t="shared" si="9"/>
        <v>28</v>
      </c>
      <c r="B63" s="47">
        <f>1/(1+$H$13)^(A63-1)</f>
        <v>0.26510794715782032</v>
      </c>
      <c r="C63" s="54"/>
      <c r="D63" s="55">
        <f>IF(A63&lt;=($H$16),X63,0)</f>
        <v>0</v>
      </c>
      <c r="E63" s="55">
        <f t="shared" si="4"/>
        <v>0</v>
      </c>
      <c r="F63" s="50"/>
      <c r="G63" s="56">
        <f>IF(A63&lt;=($H$16),IF(ISERROR($B$12),AC63,Q63),0)</f>
        <v>0</v>
      </c>
      <c r="H63" s="49"/>
      <c r="I63" s="49"/>
      <c r="J63" s="56" t="str">
        <f>IF(A63&lt;=($H$16-1),SUM(F63:H63),"")</f>
        <v/>
      </c>
      <c r="K63" s="56">
        <f t="shared" si="5"/>
        <v>0</v>
      </c>
      <c r="L63" s="195"/>
      <c r="M63" s="57" t="str">
        <f>IF(A63=$H$16,$M$30,"")</f>
        <v/>
      </c>
      <c r="N63" s="57" t="str">
        <f>IF(A63=$H$16,M63/(1+$H$13)^A63,"")</f>
        <v/>
      </c>
      <c r="O63" s="155">
        <f t="shared" si="6"/>
        <v>10.003799999999998</v>
      </c>
      <c r="P63" s="155">
        <f>SUMIFS(Financials!L:L,Financials!A:A,"="&amp;$A$1,Financials!C:C,"="&amp;+A63)</f>
        <v>0</v>
      </c>
      <c r="Q63" s="156">
        <f>IF(P63=0,O63,P63)</f>
        <v>10.003799999999998</v>
      </c>
      <c r="R63" s="156" t="e">
        <f t="shared" si="12"/>
        <v>#DIV/0!</v>
      </c>
      <c r="S63" s="157">
        <f>1000000*Q63/$H$4</f>
        <v>333459.99999999994</v>
      </c>
      <c r="T63" s="163">
        <f>T62*(1-$H$17)</f>
        <v>0.26491577406273409</v>
      </c>
      <c r="U63" s="161">
        <f>SUMIFS(CFs!E:E,CFs!A:A,"="&amp;$A$1,CFs!B:B,"="&amp;+A63)</f>
        <v>0</v>
      </c>
      <c r="V63" s="161">
        <f>IF(U63=0,(1-$H$17)*AVERAGE(V60:V62),U63)</f>
        <v>0.40595055323401991</v>
      </c>
      <c r="W63" s="161">
        <f t="shared" si="8"/>
        <v>0.40595055323401991</v>
      </c>
      <c r="X63" s="162">
        <f>W63*$H$6*8760</f>
        <v>106683.80538990043</v>
      </c>
      <c r="AC63" s="154">
        <f t="shared" si="11"/>
        <v>8.1709437051547695</v>
      </c>
      <c r="AD63" s="14">
        <f>(AE63*$H$4)/1000000</f>
        <v>10.003799999999998</v>
      </c>
      <c r="AE63" s="170">
        <f t="shared" si="10"/>
        <v>333459.99999999994</v>
      </c>
    </row>
    <row r="64" spans="1:31" ht="15" customHeight="1" x14ac:dyDescent="0.25">
      <c r="A64" s="46">
        <f t="shared" si="9"/>
        <v>29</v>
      </c>
      <c r="B64" s="47">
        <f>1/(1+$H$13)^(A64-1)</f>
        <v>0.2523876115363865</v>
      </c>
      <c r="C64" s="54"/>
      <c r="D64" s="55">
        <f>IF(A64&lt;=($H$16),X64,0)</f>
        <v>0</v>
      </c>
      <c r="E64" s="55">
        <f t="shared" si="4"/>
        <v>0</v>
      </c>
      <c r="F64" s="50"/>
      <c r="G64" s="56">
        <f>IF(A64&lt;=($H$16),IF(ISERROR($B$12),AC64,Q64),0)</f>
        <v>0</v>
      </c>
      <c r="H64" s="49"/>
      <c r="I64" s="49"/>
      <c r="J64" s="56" t="str">
        <f>IF(A64&lt;=($H$16-1),SUM(F64:H64),"")</f>
        <v/>
      </c>
      <c r="K64" s="56">
        <f t="shared" si="5"/>
        <v>0</v>
      </c>
      <c r="L64" s="195"/>
      <c r="M64" s="57" t="str">
        <f>IF(A64=$H$16,$M$30,"")</f>
        <v/>
      </c>
      <c r="N64" s="57" t="str">
        <f>IF(A64=$H$16,M64/(1+$H$13)^A64,"")</f>
        <v/>
      </c>
      <c r="O64" s="155">
        <f t="shared" si="6"/>
        <v>10.153799999999999</v>
      </c>
      <c r="P64" s="155">
        <f>SUMIFS(Financials!L:L,Financials!A:A,"="&amp;$A$1,Financials!C:C,"="&amp;+A64)</f>
        <v>0</v>
      </c>
      <c r="Q64" s="156">
        <f>IF(P64=0,O64,P64)</f>
        <v>10.153799999999999</v>
      </c>
      <c r="R64" s="156" t="e">
        <f t="shared" si="12"/>
        <v>#DIV/0!</v>
      </c>
      <c r="S64" s="157">
        <f>1000000*Q64/$H$4</f>
        <v>338459.99999999994</v>
      </c>
      <c r="T64" s="163">
        <f>T63*(1-$H$17)</f>
        <v>0.25935254280741665</v>
      </c>
      <c r="U64" s="161">
        <f>SUMIFS(CFs!E:E,CFs!A:A,"="&amp;$A$1,CFs!B:B,"="&amp;+A64)</f>
        <v>0</v>
      </c>
      <c r="V64" s="161">
        <f>IF(U64=0,(1-$H$17)*AVERAGE(V61:V63),U64)</f>
        <v>0.40167294070377829</v>
      </c>
      <c r="W64" s="161">
        <f t="shared" si="8"/>
        <v>0.40167294070377829</v>
      </c>
      <c r="X64" s="162">
        <f>W64*$H$6*8760</f>
        <v>105559.64881695293</v>
      </c>
      <c r="AC64" s="154">
        <f t="shared" si="11"/>
        <v>8.1709437051547695</v>
      </c>
      <c r="AD64" s="14">
        <f>(AE64*$H$4)/1000000</f>
        <v>10.153799999999999</v>
      </c>
      <c r="AE64" s="170">
        <f t="shared" si="10"/>
        <v>338459.99999999994</v>
      </c>
    </row>
    <row r="65" spans="1:14" ht="48.75" customHeight="1" x14ac:dyDescent="0.25">
      <c r="A65" s="58" t="s">
        <v>116</v>
      </c>
      <c r="B65" s="59"/>
      <c r="C65" s="60"/>
      <c r="D65" s="60"/>
      <c r="E65" s="61" t="s">
        <v>117</v>
      </c>
      <c r="F65" s="61" t="s">
        <v>105</v>
      </c>
      <c r="G65" s="61" t="s">
        <v>106</v>
      </c>
      <c r="H65" s="61" t="s">
        <v>107</v>
      </c>
      <c r="I65" s="61" t="s">
        <v>118</v>
      </c>
      <c r="J65" s="61" t="s">
        <v>119</v>
      </c>
      <c r="K65" s="61" t="s">
        <v>109</v>
      </c>
      <c r="L65" s="60"/>
      <c r="M65" s="62" t="s">
        <v>120</v>
      </c>
      <c r="N65" s="63" t="s">
        <v>121</v>
      </c>
    </row>
    <row r="66" spans="1:14" ht="15" customHeight="1" x14ac:dyDescent="0.25">
      <c r="A66" s="46"/>
      <c r="B66" s="64"/>
      <c r="C66" s="64"/>
      <c r="D66" s="65">
        <f>SUM(D36:D64)</f>
        <v>2571995.5493799155</v>
      </c>
      <c r="E66" s="65">
        <f>SUM(E36:E64)</f>
        <v>1705881.1913228645</v>
      </c>
      <c r="F66" s="65">
        <f>SUM(F26:F64)</f>
        <v>267.13523999999995</v>
      </c>
      <c r="G66" s="65">
        <f>SUM(G36:G64)</f>
        <v>147.98795999999996</v>
      </c>
      <c r="H66" s="65">
        <f>SUM(H36:H64)</f>
        <v>0</v>
      </c>
      <c r="I66" s="65">
        <f>SUM(I36:I64)</f>
        <v>0</v>
      </c>
      <c r="J66" s="65">
        <f>SUM(J26:J64)</f>
        <v>267.13523999999995</v>
      </c>
      <c r="K66" s="65">
        <f>SUM(K36:K64)</f>
        <v>93.45938524987136</v>
      </c>
      <c r="L66" s="46"/>
      <c r="M66" s="66">
        <f>SUM(M36:M64)</f>
        <v>0</v>
      </c>
      <c r="N66" s="66">
        <f>SUM(N36:N64)</f>
        <v>0</v>
      </c>
    </row>
    <row r="67" spans="1:14" ht="20.25" customHeight="1" x14ac:dyDescent="0.25">
      <c r="A67" s="46"/>
      <c r="B67" s="47"/>
      <c r="C67" s="46"/>
      <c r="D67" s="48"/>
      <c r="E67" s="55"/>
      <c r="F67" s="50"/>
      <c r="G67" s="50"/>
      <c r="H67" s="196" t="s">
        <v>122</v>
      </c>
      <c r="I67" s="196"/>
      <c r="J67" s="196"/>
      <c r="K67" s="197">
        <f>+K66*10^6/E66</f>
        <v>54.786573487803182</v>
      </c>
      <c r="L67" s="46"/>
      <c r="M67" s="198" t="s">
        <v>123</v>
      </c>
      <c r="N67" s="52"/>
    </row>
    <row r="68" spans="1:14" ht="12.75" customHeight="1" x14ac:dyDescent="0.25">
      <c r="A68" s="46"/>
      <c r="B68" s="47"/>
      <c r="C68" s="46"/>
      <c r="D68" s="48"/>
      <c r="E68" s="55"/>
      <c r="F68" s="46"/>
      <c r="G68" s="46"/>
      <c r="H68" s="196"/>
      <c r="I68" s="196"/>
      <c r="J68" s="196"/>
      <c r="K68" s="197"/>
      <c r="L68" s="67"/>
      <c r="M68" s="198"/>
      <c r="N68" s="52"/>
    </row>
    <row r="69" spans="1:14" ht="12.75" customHeight="1" x14ac:dyDescent="0.25">
      <c r="A69" s="46"/>
      <c r="B69" s="47"/>
      <c r="C69" s="46"/>
      <c r="D69" s="48"/>
      <c r="E69" s="55"/>
      <c r="F69" s="50"/>
      <c r="G69" s="50"/>
      <c r="H69" s="196"/>
      <c r="I69" s="196"/>
      <c r="J69" s="196"/>
      <c r="K69" s="197"/>
      <c r="L69" s="67"/>
      <c r="M69" s="198"/>
      <c r="N69" s="68">
        <f>N66/E66*1000000</f>
        <v>0</v>
      </c>
    </row>
    <row r="70" spans="1:14" ht="16.5" customHeight="1" x14ac:dyDescent="0.25">
      <c r="A70" s="46"/>
      <c r="B70" s="47"/>
      <c r="C70" s="46"/>
      <c r="D70" s="48"/>
      <c r="E70" s="55"/>
      <c r="F70" s="50"/>
      <c r="G70" s="50"/>
      <c r="H70" s="196"/>
      <c r="I70" s="196"/>
      <c r="J70" s="196"/>
      <c r="K70" s="197"/>
      <c r="L70" s="67"/>
      <c r="M70" s="198"/>
      <c r="N70" s="52"/>
    </row>
    <row r="71" spans="1:14" x14ac:dyDescent="0.25">
      <c r="A71" s="46"/>
      <c r="B71" s="46"/>
      <c r="C71" s="46"/>
      <c r="D71" s="46"/>
      <c r="E71" s="46"/>
      <c r="F71" s="46"/>
      <c r="G71" s="46"/>
      <c r="H71" s="196"/>
      <c r="I71" s="196"/>
      <c r="J71" s="196"/>
      <c r="K71" s="197"/>
      <c r="L71" s="67"/>
      <c r="M71" s="198"/>
      <c r="N71" s="52"/>
    </row>
    <row r="73" spans="1:14" ht="21" x14ac:dyDescent="0.25">
      <c r="A73" s="190" t="s">
        <v>124</v>
      </c>
      <c r="B73" s="191"/>
      <c r="C73" s="191"/>
      <c r="D73" s="191"/>
      <c r="E73" s="191"/>
      <c r="F73" s="191"/>
      <c r="G73" s="191"/>
      <c r="H73" s="191"/>
      <c r="I73" s="191"/>
      <c r="J73" s="191"/>
      <c r="K73" s="192"/>
    </row>
    <row r="74" spans="1:14" ht="15.75" x14ac:dyDescent="0.25">
      <c r="A74" s="69" t="s">
        <v>66</v>
      </c>
      <c r="B74" s="33">
        <v>-10</v>
      </c>
      <c r="C74" s="33">
        <v>-9</v>
      </c>
      <c r="D74" s="33">
        <v>-8</v>
      </c>
      <c r="E74" s="33">
        <v>-7</v>
      </c>
      <c r="F74" s="33">
        <v>-6</v>
      </c>
      <c r="G74" s="33">
        <f>1+F74</f>
        <v>-5</v>
      </c>
      <c r="H74" s="33">
        <f>1+G74</f>
        <v>-4</v>
      </c>
      <c r="I74" s="33">
        <f>1+H74</f>
        <v>-3</v>
      </c>
      <c r="J74" s="33">
        <f>1+I74</f>
        <v>-2</v>
      </c>
      <c r="K74" s="70">
        <f>1+J74</f>
        <v>-1</v>
      </c>
    </row>
    <row r="75" spans="1:14" ht="31.5" x14ac:dyDescent="0.25">
      <c r="A75" s="71" t="s">
        <v>125</v>
      </c>
      <c r="B75" s="72">
        <v>0</v>
      </c>
      <c r="C75" s="72">
        <v>0</v>
      </c>
      <c r="D75" s="72">
        <v>0</v>
      </c>
      <c r="E75" s="72">
        <v>0</v>
      </c>
      <c r="F75" s="72">
        <v>0</v>
      </c>
      <c r="G75" s="72">
        <v>0</v>
      </c>
      <c r="H75" s="72">
        <v>0</v>
      </c>
      <c r="I75" s="72">
        <v>0</v>
      </c>
      <c r="J75" s="72">
        <v>60</v>
      </c>
      <c r="K75" s="73">
        <v>40</v>
      </c>
    </row>
    <row r="109" spans="12:15" ht="15.75" x14ac:dyDescent="0.25">
      <c r="L109" s="74" t="s">
        <v>47</v>
      </c>
      <c r="M109" s="74">
        <v>5.6</v>
      </c>
      <c r="N109" s="30">
        <v>5.6</v>
      </c>
      <c r="O109" s="74">
        <v>5.6</v>
      </c>
    </row>
    <row r="110" spans="12:15" ht="15.75" x14ac:dyDescent="0.25">
      <c r="L110" s="74" t="s">
        <v>39</v>
      </c>
      <c r="M110" s="74">
        <v>80.099999999999994</v>
      </c>
      <c r="N110" s="30">
        <v>80.099999999999994</v>
      </c>
      <c r="O110" s="74">
        <v>80.099999999999994</v>
      </c>
    </row>
    <row r="111" spans="12:15" ht="15.75" x14ac:dyDescent="0.25">
      <c r="L111" s="74" t="s">
        <v>41</v>
      </c>
      <c r="M111" s="74">
        <v>93.5</v>
      </c>
      <c r="N111" s="30">
        <v>93.5</v>
      </c>
      <c r="O111" s="74">
        <v>93.5</v>
      </c>
    </row>
    <row r="112" spans="12:15" ht="15.75" x14ac:dyDescent="0.25">
      <c r="L112" s="74" t="s">
        <v>128</v>
      </c>
      <c r="M112" s="74">
        <v>93.6</v>
      </c>
      <c r="N112" s="30">
        <v>93.6</v>
      </c>
      <c r="O112" s="74">
        <v>93.6</v>
      </c>
    </row>
    <row r="113" spans="12:15" ht="15.75" x14ac:dyDescent="0.25">
      <c r="L113" s="74" t="s">
        <v>36</v>
      </c>
      <c r="M113" s="74">
        <v>139.80000000000001</v>
      </c>
      <c r="N113" s="30">
        <v>139.80000000000001</v>
      </c>
      <c r="O113" s="74">
        <v>106.2</v>
      </c>
    </row>
    <row r="114" spans="12:15" ht="15.75" x14ac:dyDescent="0.25">
      <c r="L114" s="74" t="s">
        <v>46</v>
      </c>
      <c r="M114" s="74">
        <v>0</v>
      </c>
      <c r="N114" s="30">
        <v>0</v>
      </c>
      <c r="O114" s="74">
        <v>0</v>
      </c>
    </row>
    <row r="115" spans="12:15" ht="15.75" x14ac:dyDescent="0.25">
      <c r="L115" s="74" t="s">
        <v>37</v>
      </c>
      <c r="M115" s="74">
        <v>132.5</v>
      </c>
      <c r="N115" s="30">
        <v>132.5</v>
      </c>
      <c r="O115" s="74">
        <v>132.5</v>
      </c>
    </row>
    <row r="116" spans="12:15" ht="15.75" x14ac:dyDescent="0.25">
      <c r="L116" s="74" t="s">
        <v>69</v>
      </c>
      <c r="M116" s="74">
        <v>180.3</v>
      </c>
      <c r="N116" s="30">
        <v>180.3</v>
      </c>
      <c r="O116" s="74">
        <v>180.3</v>
      </c>
    </row>
    <row r="117" spans="12:15" ht="15.75" x14ac:dyDescent="0.25">
      <c r="L117" s="74" t="s">
        <v>35</v>
      </c>
      <c r="M117" s="74">
        <v>184</v>
      </c>
      <c r="N117" s="30">
        <v>184</v>
      </c>
      <c r="O117" s="74">
        <v>184</v>
      </c>
    </row>
    <row r="118" spans="12:15" ht="15.75" x14ac:dyDescent="0.25">
      <c r="L118" s="74" t="s">
        <v>38</v>
      </c>
      <c r="M118" s="74">
        <v>226.2</v>
      </c>
      <c r="N118" s="30">
        <v>226.2</v>
      </c>
      <c r="O118" s="74">
        <v>226.2</v>
      </c>
    </row>
    <row r="119" spans="12:15" ht="15.75" x14ac:dyDescent="0.25">
      <c r="L119" s="74" t="s">
        <v>4</v>
      </c>
      <c r="M119" s="74">
        <v>319.60000000000002</v>
      </c>
      <c r="N119" s="30">
        <v>319.60000000000002</v>
      </c>
      <c r="O119" s="74">
        <v>288.5</v>
      </c>
    </row>
    <row r="120" spans="12:15" ht="15.75" x14ac:dyDescent="0.25">
      <c r="L120" s="74"/>
      <c r="M120" s="74">
        <v>157</v>
      </c>
      <c r="N120" s="30">
        <v>157</v>
      </c>
      <c r="O120" s="74">
        <v>138.6</v>
      </c>
    </row>
    <row r="121" spans="12:15" ht="15.75" x14ac:dyDescent="0.25">
      <c r="L121" s="74" t="s">
        <v>5</v>
      </c>
      <c r="M121" s="74">
        <v>272</v>
      </c>
      <c r="N121" s="30">
        <v>272</v>
      </c>
      <c r="O121" s="74">
        <v>239</v>
      </c>
    </row>
    <row r="122" spans="12:15" ht="15.75" x14ac:dyDescent="0.25">
      <c r="L122" s="74"/>
      <c r="M122" s="74">
        <v>253</v>
      </c>
      <c r="N122" s="30">
        <v>253</v>
      </c>
      <c r="O122" s="74">
        <v>220</v>
      </c>
    </row>
    <row r="123" spans="12:15" ht="15.75" x14ac:dyDescent="0.25">
      <c r="L123" s="74" t="s">
        <v>30</v>
      </c>
      <c r="M123" s="74">
        <v>1020.3</v>
      </c>
      <c r="N123" s="30">
        <v>1020.3</v>
      </c>
      <c r="O123" s="74">
        <v>862.6</v>
      </c>
    </row>
    <row r="124" spans="12:15" ht="15.75" x14ac:dyDescent="0.25">
      <c r="L124" s="74" t="s">
        <v>6</v>
      </c>
      <c r="M124" s="74">
        <v>1226</v>
      </c>
      <c r="N124" s="30">
        <v>1226</v>
      </c>
      <c r="O124" s="74">
        <v>1011</v>
      </c>
    </row>
    <row r="125" spans="12:15" ht="15.75" x14ac:dyDescent="0.25">
      <c r="L125" s="74" t="s">
        <v>27</v>
      </c>
      <c r="M125" s="74">
        <v>1696.6</v>
      </c>
      <c r="N125" s="30">
        <v>1696.6</v>
      </c>
      <c r="O125" s="74">
        <v>1405</v>
      </c>
    </row>
    <row r="126" spans="12:15" ht="15.75" x14ac:dyDescent="0.25">
      <c r="L126" s="74" t="s">
        <v>34</v>
      </c>
      <c r="M126" s="74">
        <v>517.4</v>
      </c>
      <c r="N126" s="30">
        <v>517.4</v>
      </c>
      <c r="O126" s="74">
        <v>421.4</v>
      </c>
    </row>
    <row r="127" spans="12:15" ht="15.75" x14ac:dyDescent="0.25">
      <c r="L127" s="74" t="s">
        <v>7</v>
      </c>
      <c r="M127" s="74">
        <v>1231.3000000000002</v>
      </c>
      <c r="N127" s="30">
        <v>1231.3000000000002</v>
      </c>
      <c r="O127" s="74">
        <v>1055.4000000000001</v>
      </c>
    </row>
    <row r="128" spans="12:15" ht="15.75" x14ac:dyDescent="0.25">
      <c r="L128" s="74" t="s">
        <v>45</v>
      </c>
      <c r="M128" s="74">
        <v>51.9</v>
      </c>
      <c r="N128" s="30">
        <v>51.9</v>
      </c>
      <c r="O128" s="74">
        <v>51.9</v>
      </c>
    </row>
    <row r="129" spans="12:15" ht="15.75" x14ac:dyDescent="0.25">
      <c r="L129" s="74" t="s">
        <v>31</v>
      </c>
      <c r="M129" s="74">
        <v>1304.8</v>
      </c>
      <c r="N129" s="30">
        <v>1304.8</v>
      </c>
      <c r="O129" s="74">
        <v>978.4</v>
      </c>
    </row>
    <row r="130" spans="12:15" ht="15.75" x14ac:dyDescent="0.25">
      <c r="L130" s="74" t="s">
        <v>25</v>
      </c>
      <c r="M130" s="74">
        <v>2347</v>
      </c>
      <c r="N130" s="30">
        <v>2347</v>
      </c>
      <c r="O130" s="74">
        <v>1973</v>
      </c>
    </row>
    <row r="131" spans="12:15" ht="15.75" x14ac:dyDescent="0.25">
      <c r="L131" s="74" t="s">
        <v>40</v>
      </c>
      <c r="M131" s="74">
        <v>316.5</v>
      </c>
      <c r="N131" s="30">
        <v>316.5</v>
      </c>
      <c r="O131" s="74">
        <v>316.5</v>
      </c>
    </row>
    <row r="132" spans="12:15" ht="15.75" x14ac:dyDescent="0.25">
      <c r="L132" s="74" t="s">
        <v>28</v>
      </c>
      <c r="M132" s="74">
        <v>1484.2999999999997</v>
      </c>
      <c r="N132" s="30">
        <v>1484.2999999999997</v>
      </c>
      <c r="O132" s="74">
        <v>1211.3999999999999</v>
      </c>
    </row>
    <row r="133" spans="12:15" ht="15.75" x14ac:dyDescent="0.25">
      <c r="L133" s="74" t="s">
        <v>8</v>
      </c>
      <c r="M133" s="74">
        <v>2299.6999999999998</v>
      </c>
      <c r="N133" s="30">
        <v>2299.6999999999998</v>
      </c>
      <c r="O133" s="74">
        <v>1972</v>
      </c>
    </row>
    <row r="134" spans="12:15" ht="15.75" x14ac:dyDescent="0.25">
      <c r="L134" s="74" t="s">
        <v>33</v>
      </c>
      <c r="M134" s="74">
        <v>831.5</v>
      </c>
      <c r="N134" s="30">
        <v>831.5</v>
      </c>
      <c r="O134" s="74">
        <v>674</v>
      </c>
    </row>
    <row r="135" spans="12:15" ht="15.75" x14ac:dyDescent="0.25">
      <c r="L135" s="74" t="s">
        <v>9</v>
      </c>
      <c r="M135" s="74">
        <v>704.09999999999991</v>
      </c>
      <c r="N135" s="30">
        <v>704.09999999999991</v>
      </c>
      <c r="O135" s="74">
        <v>549.4</v>
      </c>
    </row>
    <row r="136" spans="12:15" ht="15.75" x14ac:dyDescent="0.25">
      <c r="L136" s="74" t="s">
        <v>42</v>
      </c>
      <c r="M136" s="74">
        <v>150.5</v>
      </c>
      <c r="N136" s="30">
        <v>150.5</v>
      </c>
      <c r="O136" s="74">
        <v>150.5</v>
      </c>
    </row>
    <row r="137" spans="12:15" ht="15.75" x14ac:dyDescent="0.25">
      <c r="L137" s="74" t="s">
        <v>44</v>
      </c>
      <c r="M137" s="74">
        <v>195</v>
      </c>
      <c r="N137" s="30">
        <v>195</v>
      </c>
      <c r="O137" s="74">
        <v>195</v>
      </c>
    </row>
    <row r="138" spans="12:15" ht="15.75" x14ac:dyDescent="0.25">
      <c r="L138" s="74" t="s">
        <v>23</v>
      </c>
      <c r="M138" s="74">
        <v>1290.5</v>
      </c>
      <c r="N138" s="30">
        <v>1290.5</v>
      </c>
      <c r="O138" s="74">
        <v>1057.4000000000001</v>
      </c>
    </row>
    <row r="139" spans="12:15" ht="15.75" x14ac:dyDescent="0.25">
      <c r="L139" s="74" t="s">
        <v>29</v>
      </c>
      <c r="M139" s="74">
        <v>1264.9000000000001</v>
      </c>
      <c r="N139" s="30">
        <v>1264.9000000000001</v>
      </c>
      <c r="O139" s="74">
        <v>967</v>
      </c>
    </row>
    <row r="140" spans="12:15" ht="15.75" x14ac:dyDescent="0.25">
      <c r="L140" s="74" t="s">
        <v>43</v>
      </c>
      <c r="M140" s="74">
        <v>264.7</v>
      </c>
      <c r="N140" s="30">
        <v>264.7</v>
      </c>
      <c r="O140" s="74">
        <v>264.7</v>
      </c>
    </row>
    <row r="141" spans="12:15" ht="15.75" x14ac:dyDescent="0.25">
      <c r="L141" s="74" t="s">
        <v>10</v>
      </c>
      <c r="M141" s="74">
        <v>2099.7999999999997</v>
      </c>
      <c r="N141" s="30">
        <v>2099.7999999999997</v>
      </c>
      <c r="O141" s="74">
        <v>1597.6</v>
      </c>
    </row>
    <row r="142" spans="12:15" ht="15.75" x14ac:dyDescent="0.25">
      <c r="L142" s="74" t="s">
        <v>11</v>
      </c>
      <c r="M142" s="74">
        <v>309.2</v>
      </c>
      <c r="N142" s="30">
        <v>309.2</v>
      </c>
      <c r="O142" s="74">
        <v>309.2</v>
      </c>
    </row>
    <row r="143" spans="12:15" ht="15.75" x14ac:dyDescent="0.25">
      <c r="L143" s="74" t="s">
        <v>12</v>
      </c>
      <c r="M143" s="74">
        <v>0</v>
      </c>
      <c r="N143" s="30">
        <v>0</v>
      </c>
      <c r="O143" s="74">
        <v>0</v>
      </c>
    </row>
    <row r="144" spans="12:15" ht="15.75" x14ac:dyDescent="0.25">
      <c r="L144" s="74" t="s">
        <v>13</v>
      </c>
      <c r="M144" s="74">
        <v>1322.9</v>
      </c>
      <c r="N144" s="30">
        <v>1322.9</v>
      </c>
      <c r="O144" s="74">
        <v>1043</v>
      </c>
    </row>
    <row r="145" spans="12:15" ht="15.75" x14ac:dyDescent="0.25">
      <c r="L145" s="74" t="s">
        <v>14</v>
      </c>
      <c r="M145" s="74">
        <v>1210.5999999999999</v>
      </c>
      <c r="N145" s="30">
        <v>1210.5999999999999</v>
      </c>
      <c r="O145" s="74">
        <v>913.9</v>
      </c>
    </row>
    <row r="146" spans="12:15" ht="15.75" x14ac:dyDescent="0.25">
      <c r="L146" s="74" t="s">
        <v>32</v>
      </c>
      <c r="M146" s="74">
        <v>2966</v>
      </c>
      <c r="N146" s="30">
        <v>2966</v>
      </c>
      <c r="O146" s="74">
        <v>2423</v>
      </c>
    </row>
    <row r="147" spans="12:15" ht="15.75" x14ac:dyDescent="0.25">
      <c r="L147" s="74" t="s">
        <v>15</v>
      </c>
      <c r="M147" s="74">
        <v>2347.5</v>
      </c>
      <c r="N147" s="30">
        <v>2347.5</v>
      </c>
      <c r="O147" s="74">
        <v>1936</v>
      </c>
    </row>
    <row r="1279" spans="1:30" s="75" customFormat="1" x14ac:dyDescent="0.25">
      <c r="A1279" s="30"/>
      <c r="B1279" s="30"/>
      <c r="C1279" s="30"/>
      <c r="D1279" s="30"/>
      <c r="E1279" s="30"/>
      <c r="F1279" s="30"/>
      <c r="G1279" s="30"/>
      <c r="H1279" s="30"/>
      <c r="I1279" s="30"/>
      <c r="J1279" s="30"/>
      <c r="K1279" s="30"/>
      <c r="L1279" s="30"/>
      <c r="M1279" s="30"/>
      <c r="N1279" s="30"/>
      <c r="P1279" s="20"/>
      <c r="Q1279" s="20"/>
      <c r="R1279" s="20"/>
      <c r="S1279" s="20"/>
      <c r="T1279" s="20"/>
      <c r="U1279" s="20"/>
      <c r="V1279" s="20"/>
      <c r="W1279" s="20"/>
      <c r="X1279" s="20"/>
      <c r="Y1279" s="20"/>
      <c r="Z1279" s="20"/>
      <c r="AA1279" s="20"/>
      <c r="AB1279" s="20"/>
      <c r="AC1279" s="20"/>
      <c r="AD1279" s="20"/>
    </row>
    <row r="1280" spans="1:30" s="75" customFormat="1" x14ac:dyDescent="0.25">
      <c r="A1280" s="30"/>
      <c r="B1280" s="30"/>
      <c r="C1280" s="30"/>
      <c r="D1280" s="30"/>
      <c r="E1280" s="30"/>
      <c r="F1280" s="30"/>
      <c r="G1280" s="30"/>
      <c r="H1280" s="30"/>
      <c r="I1280" s="30"/>
      <c r="J1280" s="30"/>
      <c r="K1280" s="30"/>
      <c r="L1280" s="30"/>
      <c r="M1280" s="30"/>
      <c r="N1280" s="30"/>
      <c r="P1280" s="20"/>
      <c r="Q1280" s="20"/>
      <c r="R1280" s="20"/>
      <c r="S1280" s="20"/>
      <c r="T1280" s="20"/>
      <c r="U1280" s="20"/>
      <c r="V1280" s="20"/>
      <c r="W1280" s="20"/>
      <c r="X1280" s="20"/>
      <c r="Y1280" s="20"/>
      <c r="Z1280" s="20"/>
      <c r="AA1280" s="20"/>
      <c r="AB1280" s="20"/>
      <c r="AC1280" s="20"/>
      <c r="AD1280" s="20"/>
    </row>
    <row r="1281" spans="1:30" s="75" customFormat="1" x14ac:dyDescent="0.25">
      <c r="A1281" s="30"/>
      <c r="B1281" s="30"/>
      <c r="C1281" s="30"/>
      <c r="D1281" s="30"/>
      <c r="E1281" s="30"/>
      <c r="F1281" s="30"/>
      <c r="G1281" s="30"/>
      <c r="H1281" s="30"/>
      <c r="I1281" s="30"/>
      <c r="J1281" s="30"/>
      <c r="K1281" s="30"/>
      <c r="L1281" s="30"/>
      <c r="M1281" s="30"/>
      <c r="N1281" s="30"/>
      <c r="P1281" s="20"/>
      <c r="Q1281" s="20"/>
      <c r="R1281" s="20"/>
      <c r="S1281" s="20"/>
      <c r="T1281" s="20"/>
      <c r="U1281" s="20"/>
      <c r="V1281" s="20"/>
      <c r="W1281" s="20"/>
      <c r="X1281" s="20"/>
      <c r="Y1281" s="20"/>
      <c r="Z1281" s="20"/>
      <c r="AA1281" s="20"/>
      <c r="AB1281" s="20"/>
      <c r="AC1281" s="20"/>
      <c r="AD1281" s="20"/>
    </row>
    <row r="1282" spans="1:30" s="75" customFormat="1" x14ac:dyDescent="0.25">
      <c r="A1282" s="30"/>
      <c r="B1282" s="30"/>
      <c r="C1282" s="30"/>
      <c r="D1282" s="30"/>
      <c r="E1282" s="30"/>
      <c r="F1282" s="30"/>
      <c r="G1282" s="30"/>
      <c r="H1282" s="30"/>
      <c r="I1282" s="30"/>
      <c r="J1282" s="30"/>
      <c r="K1282" s="30"/>
      <c r="L1282" s="30"/>
      <c r="M1282" s="30"/>
      <c r="N1282" s="30"/>
      <c r="P1282" s="20"/>
      <c r="Q1282" s="20"/>
      <c r="R1282" s="20"/>
      <c r="S1282" s="20"/>
      <c r="T1282" s="20"/>
      <c r="U1282" s="20"/>
      <c r="V1282" s="20"/>
      <c r="W1282" s="20"/>
      <c r="X1282" s="20"/>
      <c r="Y1282" s="20"/>
      <c r="Z1282" s="20"/>
      <c r="AA1282" s="20"/>
      <c r="AB1282" s="20"/>
      <c r="AC1282" s="20"/>
      <c r="AD1282" s="20"/>
    </row>
    <row r="1283" spans="1:30" s="75" customFormat="1" x14ac:dyDescent="0.25">
      <c r="A1283" s="30"/>
      <c r="B1283" s="30"/>
      <c r="C1283" s="30"/>
      <c r="D1283" s="30"/>
      <c r="E1283" s="30"/>
      <c r="F1283" s="30"/>
      <c r="G1283" s="30"/>
      <c r="H1283" s="30"/>
      <c r="I1283" s="30"/>
      <c r="J1283" s="30"/>
      <c r="K1283" s="30"/>
      <c r="L1283" s="30"/>
      <c r="M1283" s="30"/>
      <c r="N1283" s="30"/>
      <c r="P1283" s="20"/>
      <c r="Q1283" s="20"/>
      <c r="R1283" s="20"/>
      <c r="S1283" s="20"/>
      <c r="T1283" s="20"/>
      <c r="U1283" s="20"/>
      <c r="V1283" s="20"/>
      <c r="W1283" s="20"/>
      <c r="X1283" s="20"/>
      <c r="Y1283" s="20"/>
      <c r="Z1283" s="20"/>
      <c r="AA1283" s="20"/>
      <c r="AB1283" s="20"/>
      <c r="AC1283" s="20"/>
      <c r="AD1283" s="20"/>
    </row>
    <row r="1284" spans="1:30" s="75" customFormat="1" x14ac:dyDescent="0.25">
      <c r="A1284" s="30"/>
      <c r="B1284" s="30"/>
      <c r="C1284" s="30"/>
      <c r="D1284" s="30"/>
      <c r="E1284" s="30"/>
      <c r="F1284" s="30"/>
      <c r="G1284" s="30"/>
      <c r="H1284" s="30"/>
      <c r="I1284" s="30"/>
      <c r="J1284" s="30"/>
      <c r="K1284" s="30"/>
      <c r="L1284" s="30"/>
      <c r="M1284" s="30"/>
      <c r="N1284" s="30"/>
      <c r="P1284" s="20"/>
      <c r="Q1284" s="20"/>
      <c r="R1284" s="20"/>
      <c r="S1284" s="20"/>
      <c r="T1284" s="20"/>
      <c r="U1284" s="20"/>
      <c r="V1284" s="20"/>
      <c r="W1284" s="20"/>
      <c r="X1284" s="20"/>
      <c r="Y1284" s="20"/>
      <c r="Z1284" s="20"/>
      <c r="AA1284" s="20"/>
      <c r="AB1284" s="20"/>
      <c r="AC1284" s="20"/>
      <c r="AD1284" s="20"/>
    </row>
    <row r="1285" spans="1:30" s="75" customFormat="1" x14ac:dyDescent="0.25">
      <c r="A1285" s="30"/>
      <c r="B1285" s="30"/>
      <c r="C1285" s="30"/>
      <c r="D1285" s="30"/>
      <c r="E1285" s="30"/>
      <c r="F1285" s="30"/>
      <c r="G1285" s="30"/>
      <c r="H1285" s="30"/>
      <c r="I1285" s="30"/>
      <c r="J1285" s="30"/>
      <c r="K1285" s="30"/>
      <c r="L1285" s="30"/>
      <c r="M1285" s="30"/>
      <c r="N1285" s="30"/>
      <c r="P1285" s="20"/>
      <c r="Q1285" s="20"/>
      <c r="R1285" s="20"/>
      <c r="S1285" s="20"/>
      <c r="T1285" s="20"/>
      <c r="U1285" s="20"/>
      <c r="V1285" s="20"/>
      <c r="W1285" s="20"/>
      <c r="X1285" s="20"/>
      <c r="Y1285" s="20"/>
      <c r="Z1285" s="20"/>
      <c r="AA1285" s="20"/>
      <c r="AB1285" s="20"/>
      <c r="AC1285" s="20"/>
      <c r="AD1285" s="20"/>
    </row>
    <row r="1286" spans="1:30" s="75" customFormat="1" x14ac:dyDescent="0.25">
      <c r="A1286" s="30"/>
      <c r="B1286" s="30"/>
      <c r="C1286" s="30"/>
      <c r="D1286" s="30"/>
      <c r="E1286" s="30"/>
      <c r="F1286" s="30"/>
      <c r="G1286" s="30"/>
      <c r="H1286" s="30"/>
      <c r="I1286" s="30"/>
      <c r="J1286" s="30"/>
      <c r="K1286" s="30"/>
      <c r="L1286" s="30"/>
      <c r="M1286" s="30"/>
      <c r="N1286" s="30"/>
      <c r="P1286" s="20"/>
      <c r="Q1286" s="20"/>
      <c r="R1286" s="20"/>
      <c r="S1286" s="20"/>
      <c r="T1286" s="20"/>
      <c r="U1286" s="20"/>
      <c r="V1286" s="20"/>
      <c r="W1286" s="20"/>
      <c r="X1286" s="20"/>
      <c r="Y1286" s="20"/>
      <c r="Z1286" s="20"/>
      <c r="AA1286" s="20"/>
      <c r="AB1286" s="20"/>
      <c r="AC1286" s="20"/>
      <c r="AD1286" s="20"/>
    </row>
  </sheetData>
  <mergeCells count="22">
    <mergeCell ref="A23:N23"/>
    <mergeCell ref="A24:A25"/>
    <mergeCell ref="B24:B25"/>
    <mergeCell ref="C24:C25"/>
    <mergeCell ref="D24:D25"/>
    <mergeCell ref="E24:E25"/>
    <mergeCell ref="F24:F25"/>
    <mergeCell ref="G24:G25"/>
    <mergeCell ref="H24:H25"/>
    <mergeCell ref="I24:I25"/>
    <mergeCell ref="J24:J25"/>
    <mergeCell ref="K24:K25"/>
    <mergeCell ref="L24:L25"/>
    <mergeCell ref="M24:M25"/>
    <mergeCell ref="N24:N25"/>
    <mergeCell ref="M27:M29"/>
    <mergeCell ref="A73:K73"/>
    <mergeCell ref="M31:M35"/>
    <mergeCell ref="L36:L64"/>
    <mergeCell ref="H67:J71"/>
    <mergeCell ref="K67:K71"/>
    <mergeCell ref="M67:M71"/>
  </mergeCells>
  <pageMargins left="0.75" right="0.75" top="1" bottom="1" header="0.5" footer="0.5"/>
  <pageSetup paperSize="9" orientation="portrait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94970880-1193-46EC-A7FE-D2E0ECFC2DDE}">
          <x14:formula1>
            <xm:f>Database!$A$6:$A$6</xm:f>
          </x14:formula1>
          <xm:sqref>A1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B4D23-D3AF-4389-BC6C-90638A2DA891}">
  <sheetPr codeName="Sheet16"/>
  <dimension ref="A1:K948"/>
  <sheetViews>
    <sheetView zoomScale="115" zoomScaleNormal="115" workbookViewId="0">
      <pane ySplit="1" topLeftCell="A2" activePane="bottomLeft" state="frozen"/>
      <selection pane="bottomLeft" activeCell="L1" sqref="L1"/>
    </sheetView>
  </sheetViews>
  <sheetFormatPr defaultRowHeight="15.75" customHeight="1" x14ac:dyDescent="0.25"/>
  <cols>
    <col min="1" max="1" width="33.25" style="140" bestFit="1" customWidth="1"/>
    <col min="2" max="2" width="9.125" style="140" bestFit="1" customWidth="1"/>
    <col min="3" max="3" width="9.625" style="141" bestFit="1" customWidth="1"/>
    <col min="4" max="4" width="11.375" style="181" bestFit="1" customWidth="1"/>
    <col min="5" max="5" width="14.125" style="145" bestFit="1" customWidth="1"/>
    <col min="6" max="6" width="12.75" style="176" bestFit="1" customWidth="1"/>
    <col min="7" max="7" width="12.625" style="176" bestFit="1" customWidth="1"/>
    <col min="9" max="9" width="6.75" bestFit="1" customWidth="1"/>
    <col min="10" max="10" width="9" bestFit="1" customWidth="1"/>
  </cols>
  <sheetData>
    <row r="1" spans="1:11" ht="15.75" customHeight="1" x14ac:dyDescent="0.25">
      <c r="A1" s="137" t="s">
        <v>57</v>
      </c>
      <c r="B1" s="138" t="s">
        <v>163</v>
      </c>
      <c r="C1" s="139" t="s">
        <v>191</v>
      </c>
      <c r="D1" s="179" t="s">
        <v>147</v>
      </c>
      <c r="E1" s="142" t="s">
        <v>148</v>
      </c>
      <c r="F1" s="175" t="s">
        <v>149</v>
      </c>
      <c r="G1" s="175" t="s">
        <v>150</v>
      </c>
      <c r="J1" t="s">
        <v>195</v>
      </c>
      <c r="K1" t="s">
        <v>194</v>
      </c>
    </row>
    <row r="2" spans="1:11" ht="15.75" customHeight="1" x14ac:dyDescent="0.25">
      <c r="A2" s="128" t="s">
        <v>43</v>
      </c>
      <c r="B2" s="143">
        <v>1</v>
      </c>
      <c r="C2" s="144">
        <v>2019</v>
      </c>
      <c r="D2" s="176">
        <v>30000</v>
      </c>
      <c r="E2" s="145">
        <v>0.51400000000000001</v>
      </c>
      <c r="F2" s="176">
        <v>134993</v>
      </c>
      <c r="G2" s="176">
        <v>472498</v>
      </c>
    </row>
    <row r="3" spans="1:11" ht="15.75" customHeight="1" x14ac:dyDescent="0.25">
      <c r="A3" s="146" t="s">
        <v>43</v>
      </c>
      <c r="B3" s="147">
        <v>2</v>
      </c>
      <c r="C3" s="148">
        <v>2020</v>
      </c>
      <c r="D3" s="180">
        <v>30000</v>
      </c>
      <c r="E3" s="149">
        <f>(F3*1000)/(8760*D3)</f>
        <v>0.57054794520547947</v>
      </c>
      <c r="F3" s="177">
        <v>149940</v>
      </c>
      <c r="G3" s="177">
        <v>149940</v>
      </c>
    </row>
    <row r="4" spans="1:11" ht="15.75" customHeight="1" x14ac:dyDescent="0.25">
      <c r="A4" s="173" t="s">
        <v>43</v>
      </c>
      <c r="B4" s="173">
        <v>3</v>
      </c>
      <c r="C4" s="174">
        <v>2021</v>
      </c>
      <c r="D4" s="180">
        <v>30000</v>
      </c>
      <c r="E4" s="149">
        <f>(F4*1000)/(8760*D4)</f>
        <v>0.51394216133942161</v>
      </c>
      <c r="F4" s="178">
        <v>135064</v>
      </c>
    </row>
    <row r="5" spans="1:11" ht="15.75" customHeight="1" x14ac:dyDescent="0.25">
      <c r="C5" s="144"/>
      <c r="D5" s="176"/>
    </row>
    <row r="6" spans="1:11" ht="15.75" customHeight="1" x14ac:dyDescent="0.25">
      <c r="C6" s="144"/>
      <c r="D6" s="176"/>
    </row>
    <row r="7" spans="1:11" ht="15.75" customHeight="1" x14ac:dyDescent="0.25">
      <c r="C7" s="144"/>
      <c r="D7" s="176"/>
    </row>
    <row r="8" spans="1:11" ht="15.75" customHeight="1" x14ac:dyDescent="0.25">
      <c r="C8" s="144"/>
      <c r="D8" s="176"/>
    </row>
    <row r="9" spans="1:11" ht="15.75" customHeight="1" x14ac:dyDescent="0.25">
      <c r="C9" s="144"/>
      <c r="D9" s="176"/>
    </row>
    <row r="10" spans="1:11" ht="15.75" customHeight="1" x14ac:dyDescent="0.25">
      <c r="C10" s="144"/>
      <c r="D10" s="176"/>
    </row>
    <row r="11" spans="1:11" ht="15.75" customHeight="1" x14ac:dyDescent="0.25">
      <c r="C11" s="144"/>
      <c r="D11" s="176"/>
    </row>
    <row r="12" spans="1:11" ht="15.75" customHeight="1" x14ac:dyDescent="0.25">
      <c r="C12" s="144"/>
      <c r="D12" s="176"/>
    </row>
    <row r="13" spans="1:11" ht="15.75" customHeight="1" x14ac:dyDescent="0.25">
      <c r="C13" s="144"/>
      <c r="D13" s="176"/>
    </row>
    <row r="14" spans="1:11" ht="15.75" customHeight="1" x14ac:dyDescent="0.25">
      <c r="C14" s="144"/>
      <c r="D14" s="176"/>
    </row>
    <row r="15" spans="1:11" ht="15.75" customHeight="1" x14ac:dyDescent="0.25">
      <c r="C15" s="144"/>
      <c r="D15" s="176"/>
    </row>
    <row r="16" spans="1:11" ht="15.75" customHeight="1" x14ac:dyDescent="0.25">
      <c r="C16" s="144"/>
      <c r="D16" s="176"/>
    </row>
    <row r="17" spans="3:4" ht="15.75" customHeight="1" x14ac:dyDescent="0.25">
      <c r="C17" s="144"/>
      <c r="D17" s="176"/>
    </row>
    <row r="18" spans="3:4" ht="15.75" customHeight="1" x14ac:dyDescent="0.25">
      <c r="C18" s="144"/>
      <c r="D18" s="176"/>
    </row>
    <row r="19" spans="3:4" ht="15.75" customHeight="1" x14ac:dyDescent="0.25">
      <c r="C19" s="144"/>
      <c r="D19" s="176"/>
    </row>
    <row r="20" spans="3:4" ht="15.75" customHeight="1" x14ac:dyDescent="0.25">
      <c r="C20" s="144"/>
      <c r="D20" s="176"/>
    </row>
    <row r="21" spans="3:4" ht="15.75" customHeight="1" x14ac:dyDescent="0.25">
      <c r="C21" s="144"/>
      <c r="D21" s="176"/>
    </row>
    <row r="22" spans="3:4" ht="15.75" customHeight="1" x14ac:dyDescent="0.25">
      <c r="C22" s="144"/>
      <c r="D22" s="176"/>
    </row>
    <row r="23" spans="3:4" ht="15.75" customHeight="1" x14ac:dyDescent="0.25">
      <c r="C23" s="144"/>
      <c r="D23" s="176"/>
    </row>
    <row r="24" spans="3:4" ht="15.75" customHeight="1" x14ac:dyDescent="0.25">
      <c r="C24" s="144"/>
      <c r="D24" s="176"/>
    </row>
    <row r="25" spans="3:4" ht="15.75" customHeight="1" x14ac:dyDescent="0.25">
      <c r="C25" s="144"/>
      <c r="D25" s="176"/>
    </row>
    <row r="26" spans="3:4" ht="15.75" customHeight="1" x14ac:dyDescent="0.25">
      <c r="C26" s="144"/>
      <c r="D26" s="176"/>
    </row>
    <row r="27" spans="3:4" ht="15.75" customHeight="1" x14ac:dyDescent="0.25">
      <c r="C27" s="144"/>
      <c r="D27" s="176"/>
    </row>
    <row r="28" spans="3:4" ht="15.75" customHeight="1" x14ac:dyDescent="0.25">
      <c r="C28" s="144"/>
      <c r="D28" s="176"/>
    </row>
    <row r="29" spans="3:4" ht="15.75" customHeight="1" x14ac:dyDescent="0.25">
      <c r="C29" s="144"/>
      <c r="D29" s="176"/>
    </row>
    <row r="30" spans="3:4" ht="15.75" customHeight="1" x14ac:dyDescent="0.25">
      <c r="C30" s="144"/>
      <c r="D30" s="176"/>
    </row>
    <row r="31" spans="3:4" ht="15.75" customHeight="1" x14ac:dyDescent="0.25">
      <c r="C31" s="144"/>
      <c r="D31" s="176"/>
    </row>
    <row r="32" spans="3:4" ht="15.75" customHeight="1" x14ac:dyDescent="0.25">
      <c r="C32" s="144"/>
      <c r="D32" s="176"/>
    </row>
    <row r="33" spans="3:4" ht="15.75" customHeight="1" x14ac:dyDescent="0.25">
      <c r="C33" s="144"/>
      <c r="D33" s="176"/>
    </row>
    <row r="34" spans="3:4" ht="15.75" customHeight="1" x14ac:dyDescent="0.25">
      <c r="C34" s="144"/>
      <c r="D34" s="176"/>
    </row>
    <row r="35" spans="3:4" ht="15.75" customHeight="1" x14ac:dyDescent="0.25">
      <c r="C35" s="144"/>
      <c r="D35" s="176"/>
    </row>
    <row r="36" spans="3:4" ht="15.75" customHeight="1" x14ac:dyDescent="0.25">
      <c r="C36" s="144"/>
      <c r="D36" s="176"/>
    </row>
    <row r="37" spans="3:4" ht="15.75" customHeight="1" x14ac:dyDescent="0.25">
      <c r="C37" s="144"/>
      <c r="D37" s="176"/>
    </row>
    <row r="38" spans="3:4" ht="15.75" customHeight="1" x14ac:dyDescent="0.25">
      <c r="C38" s="144"/>
      <c r="D38" s="176"/>
    </row>
    <row r="39" spans="3:4" ht="15.75" customHeight="1" x14ac:dyDescent="0.25">
      <c r="C39" s="144"/>
      <c r="D39" s="176"/>
    </row>
    <row r="40" spans="3:4" ht="15.75" customHeight="1" x14ac:dyDescent="0.25">
      <c r="C40" s="144"/>
      <c r="D40" s="176"/>
    </row>
    <row r="41" spans="3:4" ht="15.75" customHeight="1" x14ac:dyDescent="0.25">
      <c r="C41" s="144"/>
      <c r="D41" s="176"/>
    </row>
    <row r="42" spans="3:4" ht="15.75" customHeight="1" x14ac:dyDescent="0.25">
      <c r="C42" s="144"/>
      <c r="D42" s="176"/>
    </row>
    <row r="43" spans="3:4" ht="15.75" customHeight="1" x14ac:dyDescent="0.25">
      <c r="C43" s="144"/>
      <c r="D43" s="176"/>
    </row>
    <row r="44" spans="3:4" ht="15.75" customHeight="1" x14ac:dyDescent="0.25">
      <c r="C44" s="144"/>
      <c r="D44" s="176"/>
    </row>
    <row r="45" spans="3:4" ht="15.75" customHeight="1" x14ac:dyDescent="0.25">
      <c r="C45" s="144"/>
      <c r="D45" s="176"/>
    </row>
    <row r="46" spans="3:4" ht="15.75" customHeight="1" x14ac:dyDescent="0.25">
      <c r="C46" s="144"/>
      <c r="D46" s="176"/>
    </row>
    <row r="47" spans="3:4" ht="15.75" customHeight="1" x14ac:dyDescent="0.25">
      <c r="C47" s="144"/>
      <c r="D47" s="176"/>
    </row>
    <row r="48" spans="3:4" ht="15.75" customHeight="1" x14ac:dyDescent="0.25">
      <c r="C48" s="144"/>
      <c r="D48" s="176"/>
    </row>
    <row r="49" spans="3:4" ht="15.75" customHeight="1" x14ac:dyDescent="0.25">
      <c r="C49" s="144"/>
      <c r="D49" s="176"/>
    </row>
    <row r="50" spans="3:4" ht="15.75" customHeight="1" x14ac:dyDescent="0.25">
      <c r="C50" s="144"/>
      <c r="D50" s="176"/>
    </row>
    <row r="51" spans="3:4" ht="15.75" customHeight="1" x14ac:dyDescent="0.25">
      <c r="C51" s="144"/>
      <c r="D51" s="176"/>
    </row>
    <row r="52" spans="3:4" ht="15.75" customHeight="1" x14ac:dyDescent="0.25">
      <c r="C52" s="144"/>
      <c r="D52" s="176"/>
    </row>
    <row r="53" spans="3:4" ht="15.75" customHeight="1" x14ac:dyDescent="0.25">
      <c r="C53" s="144"/>
      <c r="D53" s="176"/>
    </row>
    <row r="54" spans="3:4" ht="15.75" customHeight="1" x14ac:dyDescent="0.25">
      <c r="C54" s="144"/>
      <c r="D54" s="176"/>
    </row>
    <row r="55" spans="3:4" ht="15.75" customHeight="1" x14ac:dyDescent="0.25">
      <c r="C55" s="144"/>
      <c r="D55" s="176"/>
    </row>
    <row r="56" spans="3:4" ht="15.75" customHeight="1" x14ac:dyDescent="0.25">
      <c r="C56" s="144"/>
      <c r="D56" s="176"/>
    </row>
    <row r="57" spans="3:4" ht="15.75" customHeight="1" x14ac:dyDescent="0.25">
      <c r="C57" s="144"/>
      <c r="D57" s="176"/>
    </row>
    <row r="58" spans="3:4" ht="15.75" customHeight="1" x14ac:dyDescent="0.25">
      <c r="C58" s="144"/>
      <c r="D58" s="176"/>
    </row>
    <row r="59" spans="3:4" ht="15.75" customHeight="1" x14ac:dyDescent="0.25">
      <c r="C59" s="144"/>
      <c r="D59" s="176"/>
    </row>
    <row r="60" spans="3:4" ht="15.75" customHeight="1" x14ac:dyDescent="0.25">
      <c r="C60" s="144"/>
      <c r="D60" s="176"/>
    </row>
    <row r="61" spans="3:4" ht="15.75" customHeight="1" x14ac:dyDescent="0.25">
      <c r="C61" s="144"/>
      <c r="D61" s="176"/>
    </row>
    <row r="62" spans="3:4" ht="15.75" customHeight="1" x14ac:dyDescent="0.25">
      <c r="C62" s="144"/>
      <c r="D62" s="176"/>
    </row>
    <row r="63" spans="3:4" ht="15.75" customHeight="1" x14ac:dyDescent="0.25">
      <c r="C63" s="144"/>
      <c r="D63" s="176"/>
    </row>
    <row r="64" spans="3:4" ht="15.75" customHeight="1" x14ac:dyDescent="0.25">
      <c r="C64" s="144"/>
      <c r="D64" s="176"/>
    </row>
    <row r="65" spans="3:4" ht="15.75" customHeight="1" x14ac:dyDescent="0.25">
      <c r="C65" s="144"/>
      <c r="D65" s="176"/>
    </row>
    <row r="66" spans="3:4" ht="15.75" customHeight="1" x14ac:dyDescent="0.25">
      <c r="C66" s="144"/>
      <c r="D66" s="176"/>
    </row>
    <row r="67" spans="3:4" ht="15.75" customHeight="1" x14ac:dyDescent="0.25">
      <c r="C67" s="144"/>
      <c r="D67" s="176"/>
    </row>
    <row r="68" spans="3:4" ht="15.75" customHeight="1" x14ac:dyDescent="0.25">
      <c r="C68" s="144"/>
      <c r="D68" s="176"/>
    </row>
    <row r="69" spans="3:4" ht="15.75" customHeight="1" x14ac:dyDescent="0.25">
      <c r="C69" s="144"/>
      <c r="D69" s="176"/>
    </row>
    <row r="70" spans="3:4" ht="15.75" customHeight="1" x14ac:dyDescent="0.25">
      <c r="C70" s="144"/>
      <c r="D70" s="176"/>
    </row>
    <row r="71" spans="3:4" ht="15.75" customHeight="1" x14ac:dyDescent="0.25">
      <c r="C71" s="144"/>
      <c r="D71" s="176"/>
    </row>
    <row r="72" spans="3:4" ht="15.75" customHeight="1" x14ac:dyDescent="0.25">
      <c r="C72" s="144"/>
      <c r="D72" s="176"/>
    </row>
    <row r="73" spans="3:4" ht="15.75" customHeight="1" x14ac:dyDescent="0.25">
      <c r="C73" s="144"/>
      <c r="D73" s="176"/>
    </row>
    <row r="74" spans="3:4" ht="15.75" customHeight="1" x14ac:dyDescent="0.25">
      <c r="C74" s="144"/>
      <c r="D74" s="176"/>
    </row>
    <row r="75" spans="3:4" ht="15.75" customHeight="1" x14ac:dyDescent="0.25">
      <c r="C75" s="144"/>
      <c r="D75" s="176"/>
    </row>
    <row r="76" spans="3:4" ht="15.75" customHeight="1" x14ac:dyDescent="0.25">
      <c r="C76" s="144"/>
      <c r="D76" s="176"/>
    </row>
    <row r="77" spans="3:4" ht="15.75" customHeight="1" x14ac:dyDescent="0.25">
      <c r="C77" s="144"/>
      <c r="D77" s="176"/>
    </row>
    <row r="78" spans="3:4" ht="15.75" customHeight="1" x14ac:dyDescent="0.25">
      <c r="C78" s="144"/>
      <c r="D78" s="176"/>
    </row>
    <row r="79" spans="3:4" ht="15.75" customHeight="1" x14ac:dyDescent="0.25">
      <c r="C79" s="144"/>
      <c r="D79" s="176"/>
    </row>
    <row r="80" spans="3:4" ht="15.75" customHeight="1" x14ac:dyDescent="0.25">
      <c r="C80" s="144"/>
      <c r="D80" s="176"/>
    </row>
    <row r="81" spans="3:4" ht="15.75" customHeight="1" x14ac:dyDescent="0.25">
      <c r="C81" s="144"/>
      <c r="D81" s="176"/>
    </row>
    <row r="82" spans="3:4" ht="15.75" customHeight="1" x14ac:dyDescent="0.25">
      <c r="C82" s="144"/>
      <c r="D82" s="176"/>
    </row>
    <row r="83" spans="3:4" ht="15.75" customHeight="1" x14ac:dyDescent="0.25">
      <c r="C83" s="144"/>
      <c r="D83" s="176"/>
    </row>
    <row r="84" spans="3:4" ht="15.75" customHeight="1" x14ac:dyDescent="0.25">
      <c r="C84" s="144"/>
      <c r="D84" s="176"/>
    </row>
    <row r="85" spans="3:4" ht="15.75" customHeight="1" x14ac:dyDescent="0.25">
      <c r="C85" s="144"/>
      <c r="D85" s="176"/>
    </row>
    <row r="86" spans="3:4" ht="15.75" customHeight="1" x14ac:dyDescent="0.25">
      <c r="C86" s="144"/>
      <c r="D86" s="176"/>
    </row>
    <row r="87" spans="3:4" ht="15.75" customHeight="1" x14ac:dyDescent="0.25">
      <c r="C87" s="144"/>
      <c r="D87" s="176"/>
    </row>
    <row r="88" spans="3:4" ht="15.75" customHeight="1" x14ac:dyDescent="0.25">
      <c r="C88" s="144"/>
      <c r="D88" s="176"/>
    </row>
    <row r="89" spans="3:4" ht="15.75" customHeight="1" x14ac:dyDescent="0.25">
      <c r="C89" s="144"/>
      <c r="D89" s="176"/>
    </row>
    <row r="90" spans="3:4" ht="15.75" customHeight="1" x14ac:dyDescent="0.25">
      <c r="C90" s="144"/>
      <c r="D90" s="176"/>
    </row>
    <row r="91" spans="3:4" ht="15.75" customHeight="1" x14ac:dyDescent="0.25">
      <c r="C91" s="144"/>
      <c r="D91" s="176"/>
    </row>
    <row r="92" spans="3:4" ht="15.75" customHeight="1" x14ac:dyDescent="0.25">
      <c r="C92" s="144"/>
      <c r="D92" s="176"/>
    </row>
    <row r="93" spans="3:4" ht="15.75" customHeight="1" x14ac:dyDescent="0.25">
      <c r="C93" s="144"/>
      <c r="D93" s="176"/>
    </row>
    <row r="94" spans="3:4" ht="15.75" customHeight="1" x14ac:dyDescent="0.25">
      <c r="C94" s="144"/>
      <c r="D94" s="176"/>
    </row>
    <row r="95" spans="3:4" ht="15.75" customHeight="1" x14ac:dyDescent="0.25">
      <c r="C95" s="144"/>
      <c r="D95" s="176"/>
    </row>
    <row r="96" spans="3:4" ht="15.75" customHeight="1" x14ac:dyDescent="0.25">
      <c r="C96" s="144"/>
      <c r="D96" s="176"/>
    </row>
    <row r="97" spans="3:4" ht="15.75" customHeight="1" x14ac:dyDescent="0.25">
      <c r="C97" s="144"/>
      <c r="D97" s="176"/>
    </row>
    <row r="98" spans="3:4" ht="15.75" customHeight="1" x14ac:dyDescent="0.25">
      <c r="C98" s="144"/>
      <c r="D98" s="176"/>
    </row>
    <row r="99" spans="3:4" ht="15.75" customHeight="1" x14ac:dyDescent="0.25">
      <c r="C99" s="144"/>
      <c r="D99" s="176"/>
    </row>
    <row r="100" spans="3:4" ht="15.75" customHeight="1" x14ac:dyDescent="0.25">
      <c r="C100" s="144"/>
      <c r="D100" s="176"/>
    </row>
    <row r="101" spans="3:4" ht="15.75" customHeight="1" x14ac:dyDescent="0.25">
      <c r="C101" s="144"/>
      <c r="D101" s="176"/>
    </row>
    <row r="102" spans="3:4" ht="15.75" customHeight="1" x14ac:dyDescent="0.25">
      <c r="C102" s="144"/>
      <c r="D102" s="176"/>
    </row>
    <row r="103" spans="3:4" ht="15.75" customHeight="1" x14ac:dyDescent="0.25">
      <c r="C103" s="144"/>
      <c r="D103" s="176"/>
    </row>
    <row r="104" spans="3:4" ht="15.75" customHeight="1" x14ac:dyDescent="0.25">
      <c r="C104" s="144"/>
      <c r="D104" s="176"/>
    </row>
    <row r="105" spans="3:4" ht="15.75" customHeight="1" x14ac:dyDescent="0.25">
      <c r="C105" s="144"/>
      <c r="D105" s="176"/>
    </row>
    <row r="106" spans="3:4" ht="15.75" customHeight="1" x14ac:dyDescent="0.25">
      <c r="C106" s="144"/>
      <c r="D106" s="176"/>
    </row>
    <row r="107" spans="3:4" ht="15.75" customHeight="1" x14ac:dyDescent="0.25">
      <c r="C107" s="144"/>
      <c r="D107" s="176"/>
    </row>
    <row r="108" spans="3:4" ht="15.75" customHeight="1" x14ac:dyDescent="0.25">
      <c r="C108" s="144"/>
      <c r="D108" s="176"/>
    </row>
    <row r="109" spans="3:4" ht="15.75" customHeight="1" x14ac:dyDescent="0.25">
      <c r="C109" s="144"/>
      <c r="D109" s="176"/>
    </row>
    <row r="110" spans="3:4" ht="15.75" customHeight="1" x14ac:dyDescent="0.25">
      <c r="C110" s="144"/>
      <c r="D110" s="176"/>
    </row>
    <row r="111" spans="3:4" ht="15.75" customHeight="1" x14ac:dyDescent="0.25">
      <c r="C111" s="144"/>
      <c r="D111" s="176"/>
    </row>
    <row r="112" spans="3:4" ht="15.75" customHeight="1" x14ac:dyDescent="0.25">
      <c r="C112" s="144"/>
      <c r="D112" s="176"/>
    </row>
    <row r="113" spans="3:4" ht="15.75" customHeight="1" x14ac:dyDescent="0.25">
      <c r="C113" s="144"/>
      <c r="D113" s="176"/>
    </row>
    <row r="114" spans="3:4" ht="15.75" customHeight="1" x14ac:dyDescent="0.25">
      <c r="C114" s="144"/>
      <c r="D114" s="176"/>
    </row>
    <row r="115" spans="3:4" ht="15.75" customHeight="1" x14ac:dyDescent="0.25">
      <c r="C115" s="144"/>
      <c r="D115" s="176"/>
    </row>
    <row r="116" spans="3:4" ht="15.75" customHeight="1" x14ac:dyDescent="0.25">
      <c r="C116" s="144"/>
      <c r="D116" s="176"/>
    </row>
    <row r="117" spans="3:4" ht="15.75" customHeight="1" x14ac:dyDescent="0.25">
      <c r="C117" s="144"/>
      <c r="D117" s="176"/>
    </row>
    <row r="118" spans="3:4" ht="15.75" customHeight="1" x14ac:dyDescent="0.25">
      <c r="C118" s="144"/>
      <c r="D118" s="176"/>
    </row>
    <row r="119" spans="3:4" ht="15.75" customHeight="1" x14ac:dyDescent="0.25">
      <c r="C119" s="144"/>
      <c r="D119" s="176"/>
    </row>
    <row r="120" spans="3:4" ht="15.75" customHeight="1" x14ac:dyDescent="0.25">
      <c r="C120" s="144"/>
      <c r="D120" s="176"/>
    </row>
    <row r="121" spans="3:4" ht="15.75" customHeight="1" x14ac:dyDescent="0.25">
      <c r="C121" s="144"/>
      <c r="D121" s="176"/>
    </row>
    <row r="122" spans="3:4" ht="15.75" customHeight="1" x14ac:dyDescent="0.25">
      <c r="C122" s="144"/>
      <c r="D122" s="176"/>
    </row>
    <row r="123" spans="3:4" ht="15.75" customHeight="1" x14ac:dyDescent="0.25">
      <c r="C123" s="144"/>
      <c r="D123" s="176"/>
    </row>
    <row r="124" spans="3:4" ht="15.75" customHeight="1" x14ac:dyDescent="0.25">
      <c r="C124" s="144"/>
      <c r="D124" s="176"/>
    </row>
    <row r="125" spans="3:4" ht="15.75" customHeight="1" x14ac:dyDescent="0.25">
      <c r="C125" s="144"/>
      <c r="D125" s="176"/>
    </row>
    <row r="126" spans="3:4" ht="15.75" customHeight="1" x14ac:dyDescent="0.25">
      <c r="C126" s="144"/>
      <c r="D126" s="176"/>
    </row>
    <row r="127" spans="3:4" ht="15.75" customHeight="1" x14ac:dyDescent="0.25">
      <c r="C127" s="144"/>
      <c r="D127" s="176"/>
    </row>
    <row r="128" spans="3:4" ht="15.75" customHeight="1" x14ac:dyDescent="0.25">
      <c r="C128" s="144"/>
      <c r="D128" s="176"/>
    </row>
    <row r="129" spans="3:4" ht="15.75" customHeight="1" x14ac:dyDescent="0.25">
      <c r="C129" s="144"/>
      <c r="D129" s="176"/>
    </row>
    <row r="130" spans="3:4" ht="15.75" customHeight="1" x14ac:dyDescent="0.25">
      <c r="C130" s="144"/>
      <c r="D130" s="176"/>
    </row>
    <row r="131" spans="3:4" ht="15.75" customHeight="1" x14ac:dyDescent="0.25">
      <c r="C131" s="144"/>
      <c r="D131" s="176"/>
    </row>
    <row r="132" spans="3:4" ht="15.75" customHeight="1" x14ac:dyDescent="0.25">
      <c r="C132" s="144"/>
      <c r="D132" s="176"/>
    </row>
    <row r="133" spans="3:4" ht="15.75" customHeight="1" x14ac:dyDescent="0.25">
      <c r="C133" s="144"/>
      <c r="D133" s="176"/>
    </row>
    <row r="134" spans="3:4" ht="15.75" customHeight="1" x14ac:dyDescent="0.25">
      <c r="C134" s="144"/>
      <c r="D134" s="176"/>
    </row>
    <row r="135" spans="3:4" ht="15.75" customHeight="1" x14ac:dyDescent="0.25">
      <c r="C135" s="144"/>
      <c r="D135" s="176"/>
    </row>
    <row r="136" spans="3:4" ht="15.75" customHeight="1" x14ac:dyDescent="0.25">
      <c r="C136" s="144"/>
      <c r="D136" s="176"/>
    </row>
    <row r="137" spans="3:4" ht="15.75" customHeight="1" x14ac:dyDescent="0.25">
      <c r="C137" s="144"/>
      <c r="D137" s="176"/>
    </row>
    <row r="138" spans="3:4" ht="15.75" customHeight="1" x14ac:dyDescent="0.25">
      <c r="C138" s="144"/>
      <c r="D138" s="176"/>
    </row>
    <row r="139" spans="3:4" ht="15.75" customHeight="1" x14ac:dyDescent="0.25">
      <c r="C139" s="144"/>
      <c r="D139" s="176"/>
    </row>
    <row r="140" spans="3:4" ht="15.75" customHeight="1" x14ac:dyDescent="0.25">
      <c r="C140" s="144"/>
      <c r="D140" s="176"/>
    </row>
    <row r="141" spans="3:4" ht="15.75" customHeight="1" x14ac:dyDescent="0.25">
      <c r="C141" s="144"/>
      <c r="D141" s="176"/>
    </row>
    <row r="142" spans="3:4" ht="15.75" customHeight="1" x14ac:dyDescent="0.25">
      <c r="C142" s="144"/>
      <c r="D142" s="176"/>
    </row>
    <row r="143" spans="3:4" ht="15.75" customHeight="1" x14ac:dyDescent="0.25">
      <c r="C143" s="144"/>
      <c r="D143" s="176"/>
    </row>
    <row r="144" spans="3:4" ht="15.75" customHeight="1" x14ac:dyDescent="0.25">
      <c r="C144" s="144"/>
      <c r="D144" s="176"/>
    </row>
    <row r="145" spans="3:4" ht="15.75" customHeight="1" x14ac:dyDescent="0.25">
      <c r="C145" s="144"/>
      <c r="D145" s="176"/>
    </row>
    <row r="146" spans="3:4" ht="15.75" customHeight="1" x14ac:dyDescent="0.25">
      <c r="C146" s="144"/>
      <c r="D146" s="176"/>
    </row>
    <row r="147" spans="3:4" ht="15.75" customHeight="1" x14ac:dyDescent="0.25">
      <c r="C147" s="144"/>
      <c r="D147" s="176"/>
    </row>
    <row r="148" spans="3:4" ht="15.75" customHeight="1" x14ac:dyDescent="0.25">
      <c r="C148" s="144"/>
      <c r="D148" s="176"/>
    </row>
    <row r="149" spans="3:4" ht="15.75" customHeight="1" x14ac:dyDescent="0.25">
      <c r="C149" s="144"/>
      <c r="D149" s="176"/>
    </row>
    <row r="150" spans="3:4" ht="15.75" customHeight="1" x14ac:dyDescent="0.25">
      <c r="C150" s="144"/>
      <c r="D150" s="176"/>
    </row>
    <row r="151" spans="3:4" ht="15.75" customHeight="1" x14ac:dyDescent="0.25">
      <c r="C151" s="144"/>
      <c r="D151" s="176"/>
    </row>
    <row r="152" spans="3:4" ht="15.75" customHeight="1" x14ac:dyDescent="0.25">
      <c r="C152" s="144"/>
      <c r="D152" s="176"/>
    </row>
    <row r="153" spans="3:4" ht="15.75" customHeight="1" x14ac:dyDescent="0.25">
      <c r="C153" s="144"/>
      <c r="D153" s="176"/>
    </row>
    <row r="154" spans="3:4" ht="15.75" customHeight="1" x14ac:dyDescent="0.25">
      <c r="C154" s="144"/>
      <c r="D154" s="176"/>
    </row>
    <row r="155" spans="3:4" ht="15.75" customHeight="1" x14ac:dyDescent="0.25">
      <c r="C155" s="144"/>
      <c r="D155" s="176"/>
    </row>
    <row r="156" spans="3:4" ht="15.75" customHeight="1" x14ac:dyDescent="0.25">
      <c r="C156" s="144"/>
      <c r="D156" s="176"/>
    </row>
    <row r="157" spans="3:4" ht="15.75" customHeight="1" x14ac:dyDescent="0.25">
      <c r="C157" s="144"/>
      <c r="D157" s="176"/>
    </row>
    <row r="158" spans="3:4" ht="15.75" customHeight="1" x14ac:dyDescent="0.25">
      <c r="C158" s="144"/>
      <c r="D158" s="176"/>
    </row>
    <row r="159" spans="3:4" ht="15.75" customHeight="1" x14ac:dyDescent="0.25">
      <c r="C159" s="144"/>
      <c r="D159" s="176"/>
    </row>
    <row r="160" spans="3:4" ht="15.75" customHeight="1" x14ac:dyDescent="0.25">
      <c r="C160" s="144"/>
      <c r="D160" s="176"/>
    </row>
    <row r="161" spans="3:4" ht="15.75" customHeight="1" x14ac:dyDescent="0.25">
      <c r="C161" s="144"/>
      <c r="D161" s="176"/>
    </row>
    <row r="162" spans="3:4" ht="15.75" customHeight="1" x14ac:dyDescent="0.25">
      <c r="C162" s="144"/>
      <c r="D162" s="176"/>
    </row>
    <row r="163" spans="3:4" ht="15.75" customHeight="1" x14ac:dyDescent="0.25">
      <c r="C163" s="144"/>
      <c r="D163" s="176"/>
    </row>
    <row r="164" spans="3:4" ht="15.75" customHeight="1" x14ac:dyDescent="0.25">
      <c r="C164" s="144"/>
      <c r="D164" s="176"/>
    </row>
    <row r="165" spans="3:4" ht="15.75" customHeight="1" x14ac:dyDescent="0.25">
      <c r="C165" s="144"/>
      <c r="D165" s="176"/>
    </row>
    <row r="166" spans="3:4" ht="15.75" customHeight="1" x14ac:dyDescent="0.25">
      <c r="C166" s="144"/>
      <c r="D166" s="176"/>
    </row>
    <row r="167" spans="3:4" ht="15.75" customHeight="1" x14ac:dyDescent="0.25">
      <c r="C167" s="144"/>
      <c r="D167" s="176"/>
    </row>
    <row r="168" spans="3:4" ht="15.75" customHeight="1" x14ac:dyDescent="0.25">
      <c r="C168" s="144"/>
      <c r="D168" s="176"/>
    </row>
    <row r="169" spans="3:4" ht="15.75" customHeight="1" x14ac:dyDescent="0.25">
      <c r="C169" s="144"/>
      <c r="D169" s="176"/>
    </row>
    <row r="170" spans="3:4" ht="15.75" customHeight="1" x14ac:dyDescent="0.25">
      <c r="C170" s="144"/>
      <c r="D170" s="176"/>
    </row>
    <row r="171" spans="3:4" ht="15.75" customHeight="1" x14ac:dyDescent="0.25">
      <c r="C171" s="144"/>
      <c r="D171" s="176"/>
    </row>
    <row r="172" spans="3:4" ht="15.75" customHeight="1" x14ac:dyDescent="0.25">
      <c r="C172" s="144"/>
      <c r="D172" s="176"/>
    </row>
    <row r="173" spans="3:4" ht="15.75" customHeight="1" x14ac:dyDescent="0.25">
      <c r="C173" s="144"/>
      <c r="D173" s="176"/>
    </row>
    <row r="174" spans="3:4" ht="15.75" customHeight="1" x14ac:dyDescent="0.25">
      <c r="C174" s="144"/>
      <c r="D174" s="176"/>
    </row>
    <row r="175" spans="3:4" ht="15.75" customHeight="1" x14ac:dyDescent="0.25">
      <c r="C175" s="144"/>
      <c r="D175" s="176"/>
    </row>
    <row r="176" spans="3:4" ht="15.75" customHeight="1" x14ac:dyDescent="0.25">
      <c r="C176" s="144"/>
      <c r="D176" s="176"/>
    </row>
    <row r="177" spans="3:4" ht="15.75" customHeight="1" x14ac:dyDescent="0.25">
      <c r="C177" s="144"/>
      <c r="D177" s="176"/>
    </row>
    <row r="178" spans="3:4" ht="15.75" customHeight="1" x14ac:dyDescent="0.25">
      <c r="C178" s="144"/>
      <c r="D178" s="176"/>
    </row>
    <row r="179" spans="3:4" ht="15.75" customHeight="1" x14ac:dyDescent="0.25">
      <c r="C179" s="144"/>
      <c r="D179" s="176"/>
    </row>
    <row r="180" spans="3:4" ht="15.75" customHeight="1" x14ac:dyDescent="0.25">
      <c r="C180" s="144"/>
      <c r="D180" s="176"/>
    </row>
    <row r="181" spans="3:4" ht="15.75" customHeight="1" x14ac:dyDescent="0.25">
      <c r="C181" s="144"/>
      <c r="D181" s="176"/>
    </row>
    <row r="182" spans="3:4" ht="15.75" customHeight="1" x14ac:dyDescent="0.25">
      <c r="C182" s="144"/>
      <c r="D182" s="176"/>
    </row>
    <row r="183" spans="3:4" ht="15.75" customHeight="1" x14ac:dyDescent="0.25">
      <c r="C183" s="144"/>
      <c r="D183" s="176"/>
    </row>
    <row r="184" spans="3:4" ht="15.75" customHeight="1" x14ac:dyDescent="0.25">
      <c r="C184" s="144"/>
      <c r="D184" s="176"/>
    </row>
    <row r="185" spans="3:4" ht="15.75" customHeight="1" x14ac:dyDescent="0.25">
      <c r="C185" s="144"/>
      <c r="D185" s="176"/>
    </row>
    <row r="186" spans="3:4" ht="15.75" customHeight="1" x14ac:dyDescent="0.25">
      <c r="C186" s="144"/>
      <c r="D186" s="176"/>
    </row>
    <row r="187" spans="3:4" ht="15.75" customHeight="1" x14ac:dyDescent="0.25">
      <c r="C187" s="144"/>
      <c r="D187" s="176"/>
    </row>
    <row r="188" spans="3:4" ht="15.75" customHeight="1" x14ac:dyDescent="0.25">
      <c r="C188" s="144"/>
      <c r="D188" s="176"/>
    </row>
    <row r="189" spans="3:4" ht="15.75" customHeight="1" x14ac:dyDescent="0.25">
      <c r="C189" s="144"/>
      <c r="D189" s="176"/>
    </row>
    <row r="190" spans="3:4" ht="15.75" customHeight="1" x14ac:dyDescent="0.25">
      <c r="C190" s="144"/>
      <c r="D190" s="176"/>
    </row>
    <row r="191" spans="3:4" ht="15.75" customHeight="1" x14ac:dyDescent="0.25">
      <c r="C191" s="144"/>
      <c r="D191" s="176"/>
    </row>
    <row r="192" spans="3:4" ht="15.75" customHeight="1" x14ac:dyDescent="0.25">
      <c r="C192" s="144"/>
      <c r="D192" s="176"/>
    </row>
    <row r="193" spans="3:4" ht="15.75" customHeight="1" x14ac:dyDescent="0.25">
      <c r="C193" s="144"/>
      <c r="D193" s="176"/>
    </row>
    <row r="194" spans="3:4" ht="15.75" customHeight="1" x14ac:dyDescent="0.25">
      <c r="C194" s="144"/>
      <c r="D194" s="176"/>
    </row>
    <row r="195" spans="3:4" ht="15.75" customHeight="1" x14ac:dyDescent="0.25">
      <c r="C195" s="144"/>
      <c r="D195" s="176"/>
    </row>
    <row r="196" spans="3:4" ht="15.75" customHeight="1" x14ac:dyDescent="0.25">
      <c r="C196" s="144"/>
      <c r="D196" s="176"/>
    </row>
    <row r="197" spans="3:4" ht="15.75" customHeight="1" x14ac:dyDescent="0.25">
      <c r="C197" s="144"/>
      <c r="D197" s="176"/>
    </row>
    <row r="198" spans="3:4" ht="15.75" customHeight="1" x14ac:dyDescent="0.25">
      <c r="C198" s="144"/>
      <c r="D198" s="176"/>
    </row>
    <row r="199" spans="3:4" ht="15.75" customHeight="1" x14ac:dyDescent="0.25">
      <c r="C199" s="144"/>
      <c r="D199" s="176"/>
    </row>
    <row r="200" spans="3:4" ht="15.75" customHeight="1" x14ac:dyDescent="0.25">
      <c r="C200" s="144"/>
      <c r="D200" s="176"/>
    </row>
    <row r="201" spans="3:4" ht="15.75" customHeight="1" x14ac:dyDescent="0.25">
      <c r="C201" s="144"/>
      <c r="D201" s="176"/>
    </row>
    <row r="202" spans="3:4" ht="15.75" customHeight="1" x14ac:dyDescent="0.25">
      <c r="C202" s="144"/>
      <c r="D202" s="176"/>
    </row>
    <row r="203" spans="3:4" ht="15.75" customHeight="1" x14ac:dyDescent="0.25">
      <c r="C203" s="144"/>
      <c r="D203" s="176"/>
    </row>
    <row r="204" spans="3:4" ht="15.75" customHeight="1" x14ac:dyDescent="0.25">
      <c r="C204" s="144"/>
      <c r="D204" s="176"/>
    </row>
    <row r="205" spans="3:4" ht="15.75" customHeight="1" x14ac:dyDescent="0.25">
      <c r="C205" s="144"/>
      <c r="D205" s="176"/>
    </row>
    <row r="206" spans="3:4" ht="15.75" customHeight="1" x14ac:dyDescent="0.25">
      <c r="C206" s="144"/>
      <c r="D206" s="176"/>
    </row>
    <row r="207" spans="3:4" ht="15.75" customHeight="1" x14ac:dyDescent="0.25">
      <c r="C207" s="144"/>
      <c r="D207" s="176"/>
    </row>
    <row r="208" spans="3:4" ht="15.75" customHeight="1" x14ac:dyDescent="0.25">
      <c r="C208" s="144"/>
      <c r="D208" s="176"/>
    </row>
    <row r="209" spans="3:4" ht="15.75" customHeight="1" x14ac:dyDescent="0.25">
      <c r="C209" s="144"/>
      <c r="D209" s="176"/>
    </row>
    <row r="210" spans="3:4" ht="15.75" customHeight="1" x14ac:dyDescent="0.25">
      <c r="C210" s="144"/>
      <c r="D210" s="176"/>
    </row>
    <row r="211" spans="3:4" ht="15.75" customHeight="1" x14ac:dyDescent="0.25">
      <c r="C211" s="144"/>
      <c r="D211" s="176"/>
    </row>
    <row r="212" spans="3:4" ht="15.75" customHeight="1" x14ac:dyDescent="0.25">
      <c r="C212" s="144"/>
      <c r="D212" s="176"/>
    </row>
    <row r="213" spans="3:4" ht="15.75" customHeight="1" x14ac:dyDescent="0.25">
      <c r="C213" s="144"/>
      <c r="D213" s="176"/>
    </row>
    <row r="214" spans="3:4" ht="15.75" customHeight="1" x14ac:dyDescent="0.25">
      <c r="C214" s="144"/>
      <c r="D214" s="176"/>
    </row>
    <row r="215" spans="3:4" ht="15.75" customHeight="1" x14ac:dyDescent="0.25">
      <c r="C215" s="144"/>
      <c r="D215" s="176"/>
    </row>
    <row r="216" spans="3:4" ht="15.75" customHeight="1" x14ac:dyDescent="0.25">
      <c r="C216" s="144"/>
      <c r="D216" s="176"/>
    </row>
    <row r="217" spans="3:4" ht="15.75" customHeight="1" x14ac:dyDescent="0.25">
      <c r="C217" s="144"/>
      <c r="D217" s="176"/>
    </row>
    <row r="218" spans="3:4" ht="15.75" customHeight="1" x14ac:dyDescent="0.25">
      <c r="C218" s="144"/>
      <c r="D218" s="176"/>
    </row>
    <row r="219" spans="3:4" ht="15.75" customHeight="1" x14ac:dyDescent="0.25">
      <c r="C219" s="144"/>
      <c r="D219" s="176"/>
    </row>
    <row r="220" spans="3:4" ht="15.75" customHeight="1" x14ac:dyDescent="0.25">
      <c r="C220" s="144"/>
      <c r="D220" s="176"/>
    </row>
    <row r="221" spans="3:4" ht="15.75" customHeight="1" x14ac:dyDescent="0.25">
      <c r="C221" s="144"/>
      <c r="D221" s="176"/>
    </row>
    <row r="222" spans="3:4" ht="15.75" customHeight="1" x14ac:dyDescent="0.25">
      <c r="C222" s="144"/>
      <c r="D222" s="176"/>
    </row>
    <row r="223" spans="3:4" ht="15.75" customHeight="1" x14ac:dyDescent="0.25">
      <c r="C223" s="144"/>
      <c r="D223" s="176"/>
    </row>
    <row r="224" spans="3:4" ht="15.75" customHeight="1" x14ac:dyDescent="0.25">
      <c r="C224" s="144"/>
      <c r="D224" s="176"/>
    </row>
    <row r="225" spans="3:4" ht="15.75" customHeight="1" x14ac:dyDescent="0.25">
      <c r="C225" s="144"/>
      <c r="D225" s="176"/>
    </row>
    <row r="226" spans="3:4" ht="15.75" customHeight="1" x14ac:dyDescent="0.25">
      <c r="C226" s="144"/>
      <c r="D226" s="176"/>
    </row>
    <row r="227" spans="3:4" ht="15.75" customHeight="1" x14ac:dyDescent="0.25">
      <c r="C227" s="144"/>
      <c r="D227" s="176"/>
    </row>
    <row r="228" spans="3:4" ht="15.75" customHeight="1" x14ac:dyDescent="0.25">
      <c r="C228" s="144"/>
      <c r="D228" s="176"/>
    </row>
    <row r="229" spans="3:4" ht="15.75" customHeight="1" x14ac:dyDescent="0.25">
      <c r="C229" s="144"/>
      <c r="D229" s="176"/>
    </row>
    <row r="230" spans="3:4" ht="15.75" customHeight="1" x14ac:dyDescent="0.25">
      <c r="C230" s="144"/>
      <c r="D230" s="176"/>
    </row>
    <row r="231" spans="3:4" ht="15.75" customHeight="1" x14ac:dyDescent="0.25">
      <c r="C231" s="144"/>
      <c r="D231" s="176"/>
    </row>
    <row r="232" spans="3:4" ht="15.75" customHeight="1" x14ac:dyDescent="0.25">
      <c r="C232" s="144"/>
      <c r="D232" s="176"/>
    </row>
    <row r="233" spans="3:4" ht="15.75" customHeight="1" x14ac:dyDescent="0.25">
      <c r="C233" s="144"/>
      <c r="D233" s="176"/>
    </row>
    <row r="234" spans="3:4" ht="15.75" customHeight="1" x14ac:dyDescent="0.25">
      <c r="C234" s="144"/>
      <c r="D234" s="176"/>
    </row>
    <row r="235" spans="3:4" ht="15.75" customHeight="1" x14ac:dyDescent="0.25">
      <c r="C235" s="144"/>
      <c r="D235" s="176"/>
    </row>
    <row r="236" spans="3:4" ht="15.75" customHeight="1" x14ac:dyDescent="0.25">
      <c r="C236" s="144"/>
      <c r="D236" s="176"/>
    </row>
    <row r="237" spans="3:4" ht="15.75" customHeight="1" x14ac:dyDescent="0.25">
      <c r="C237" s="144"/>
      <c r="D237" s="176"/>
    </row>
    <row r="238" spans="3:4" ht="15.75" customHeight="1" x14ac:dyDescent="0.25">
      <c r="C238" s="144"/>
      <c r="D238" s="176"/>
    </row>
    <row r="239" spans="3:4" ht="15.75" customHeight="1" x14ac:dyDescent="0.25">
      <c r="C239" s="144"/>
      <c r="D239" s="176"/>
    </row>
    <row r="240" spans="3:4" ht="15.75" customHeight="1" x14ac:dyDescent="0.25">
      <c r="C240" s="144"/>
      <c r="D240" s="176"/>
    </row>
    <row r="241" spans="3:4" ht="15.75" customHeight="1" x14ac:dyDescent="0.25">
      <c r="C241" s="144"/>
      <c r="D241" s="176"/>
    </row>
    <row r="242" spans="3:4" ht="15.75" customHeight="1" x14ac:dyDescent="0.25">
      <c r="C242" s="144"/>
      <c r="D242" s="176"/>
    </row>
    <row r="243" spans="3:4" ht="15.75" customHeight="1" x14ac:dyDescent="0.25">
      <c r="C243" s="144"/>
      <c r="D243" s="176"/>
    </row>
    <row r="244" spans="3:4" ht="15.75" customHeight="1" x14ac:dyDescent="0.25">
      <c r="C244" s="144"/>
      <c r="D244" s="176"/>
    </row>
    <row r="245" spans="3:4" ht="15.75" customHeight="1" x14ac:dyDescent="0.25">
      <c r="C245" s="144"/>
      <c r="D245" s="176"/>
    </row>
    <row r="246" spans="3:4" ht="15.75" customHeight="1" x14ac:dyDescent="0.25">
      <c r="C246" s="144"/>
      <c r="D246" s="176"/>
    </row>
    <row r="247" spans="3:4" ht="15.75" customHeight="1" x14ac:dyDescent="0.25">
      <c r="C247" s="144"/>
      <c r="D247" s="176"/>
    </row>
    <row r="248" spans="3:4" ht="15.75" customHeight="1" x14ac:dyDescent="0.25">
      <c r="C248" s="144"/>
      <c r="D248" s="176"/>
    </row>
    <row r="249" spans="3:4" ht="15.75" customHeight="1" x14ac:dyDescent="0.25">
      <c r="C249" s="144"/>
      <c r="D249" s="176"/>
    </row>
    <row r="250" spans="3:4" ht="15.75" customHeight="1" x14ac:dyDescent="0.25">
      <c r="C250" s="144"/>
      <c r="D250" s="176"/>
    </row>
    <row r="251" spans="3:4" ht="15.75" customHeight="1" x14ac:dyDescent="0.25">
      <c r="C251" s="144"/>
      <c r="D251" s="176"/>
    </row>
    <row r="252" spans="3:4" ht="15.75" customHeight="1" x14ac:dyDescent="0.25">
      <c r="C252" s="144"/>
      <c r="D252" s="176"/>
    </row>
    <row r="253" spans="3:4" ht="15.75" customHeight="1" x14ac:dyDescent="0.25">
      <c r="C253" s="144"/>
      <c r="D253" s="176"/>
    </row>
    <row r="254" spans="3:4" ht="15.75" customHeight="1" x14ac:dyDescent="0.25">
      <c r="C254" s="144"/>
      <c r="D254" s="176"/>
    </row>
    <row r="255" spans="3:4" ht="15.75" customHeight="1" x14ac:dyDescent="0.25">
      <c r="C255" s="144"/>
      <c r="D255" s="176"/>
    </row>
    <row r="256" spans="3:4" ht="15.75" customHeight="1" x14ac:dyDescent="0.25">
      <c r="C256" s="144"/>
      <c r="D256" s="176"/>
    </row>
    <row r="257" spans="3:4" ht="15.75" customHeight="1" x14ac:dyDescent="0.25">
      <c r="C257" s="144"/>
      <c r="D257" s="176"/>
    </row>
    <row r="258" spans="3:4" ht="15.75" customHeight="1" x14ac:dyDescent="0.25">
      <c r="C258" s="144"/>
      <c r="D258" s="176"/>
    </row>
    <row r="259" spans="3:4" ht="15.75" customHeight="1" x14ac:dyDescent="0.25">
      <c r="C259" s="144"/>
      <c r="D259" s="176"/>
    </row>
    <row r="260" spans="3:4" ht="15.75" customHeight="1" x14ac:dyDescent="0.25">
      <c r="C260" s="144"/>
      <c r="D260" s="176"/>
    </row>
    <row r="261" spans="3:4" ht="15.75" customHeight="1" x14ac:dyDescent="0.25">
      <c r="C261" s="144"/>
      <c r="D261" s="176"/>
    </row>
    <row r="262" spans="3:4" ht="15.75" customHeight="1" x14ac:dyDescent="0.25">
      <c r="C262" s="144"/>
      <c r="D262" s="176"/>
    </row>
    <row r="263" spans="3:4" ht="15.75" customHeight="1" x14ac:dyDescent="0.25">
      <c r="C263" s="144"/>
      <c r="D263" s="176"/>
    </row>
    <row r="264" spans="3:4" ht="15.75" customHeight="1" x14ac:dyDescent="0.25">
      <c r="C264" s="144"/>
      <c r="D264" s="176"/>
    </row>
    <row r="265" spans="3:4" ht="15.75" customHeight="1" x14ac:dyDescent="0.25">
      <c r="C265" s="144"/>
      <c r="D265" s="176"/>
    </row>
    <row r="266" spans="3:4" ht="15.75" customHeight="1" x14ac:dyDescent="0.25">
      <c r="C266" s="144"/>
      <c r="D266" s="176"/>
    </row>
    <row r="267" spans="3:4" ht="15.75" customHeight="1" x14ac:dyDescent="0.25">
      <c r="C267" s="144"/>
      <c r="D267" s="176"/>
    </row>
    <row r="268" spans="3:4" ht="15.75" customHeight="1" x14ac:dyDescent="0.25">
      <c r="C268" s="144"/>
      <c r="D268" s="176"/>
    </row>
    <row r="269" spans="3:4" ht="15.75" customHeight="1" x14ac:dyDescent="0.25">
      <c r="C269" s="144"/>
      <c r="D269" s="176"/>
    </row>
    <row r="270" spans="3:4" ht="15.75" customHeight="1" x14ac:dyDescent="0.25">
      <c r="C270" s="144"/>
      <c r="D270" s="176"/>
    </row>
    <row r="271" spans="3:4" ht="15.75" customHeight="1" x14ac:dyDescent="0.25">
      <c r="C271" s="144"/>
      <c r="D271" s="176"/>
    </row>
    <row r="272" spans="3:4" ht="15.75" customHeight="1" x14ac:dyDescent="0.25">
      <c r="C272" s="144"/>
      <c r="D272" s="176"/>
    </row>
    <row r="273" spans="3:4" ht="15.75" customHeight="1" x14ac:dyDescent="0.25">
      <c r="C273" s="144"/>
      <c r="D273" s="176"/>
    </row>
    <row r="274" spans="3:4" ht="15.75" customHeight="1" x14ac:dyDescent="0.25">
      <c r="C274" s="144"/>
      <c r="D274" s="176"/>
    </row>
    <row r="275" spans="3:4" ht="15.75" customHeight="1" x14ac:dyDescent="0.25">
      <c r="C275" s="144"/>
      <c r="D275" s="176"/>
    </row>
    <row r="276" spans="3:4" ht="15.75" customHeight="1" x14ac:dyDescent="0.25">
      <c r="C276" s="144"/>
      <c r="D276" s="176"/>
    </row>
    <row r="277" spans="3:4" ht="15.75" customHeight="1" x14ac:dyDescent="0.25">
      <c r="C277" s="144"/>
      <c r="D277" s="176"/>
    </row>
    <row r="278" spans="3:4" ht="15.75" customHeight="1" x14ac:dyDescent="0.25">
      <c r="C278" s="144"/>
      <c r="D278" s="176"/>
    </row>
    <row r="279" spans="3:4" ht="15.75" customHeight="1" x14ac:dyDescent="0.25">
      <c r="C279" s="144"/>
      <c r="D279" s="176"/>
    </row>
    <row r="280" spans="3:4" ht="15.75" customHeight="1" x14ac:dyDescent="0.25">
      <c r="C280" s="144"/>
      <c r="D280" s="176"/>
    </row>
    <row r="281" spans="3:4" ht="15.75" customHeight="1" x14ac:dyDescent="0.25">
      <c r="C281" s="144"/>
      <c r="D281" s="176"/>
    </row>
    <row r="282" spans="3:4" ht="15.75" customHeight="1" x14ac:dyDescent="0.25">
      <c r="C282" s="144"/>
      <c r="D282" s="176"/>
    </row>
    <row r="283" spans="3:4" ht="15.75" customHeight="1" x14ac:dyDescent="0.25">
      <c r="C283" s="144"/>
      <c r="D283" s="176"/>
    </row>
    <row r="284" spans="3:4" ht="15.75" customHeight="1" x14ac:dyDescent="0.25">
      <c r="C284" s="144"/>
      <c r="D284" s="176"/>
    </row>
    <row r="285" spans="3:4" ht="15.75" customHeight="1" x14ac:dyDescent="0.25">
      <c r="C285" s="144"/>
      <c r="D285" s="176"/>
    </row>
    <row r="286" spans="3:4" ht="15.75" customHeight="1" x14ac:dyDescent="0.25">
      <c r="C286" s="144"/>
      <c r="D286" s="176"/>
    </row>
    <row r="287" spans="3:4" ht="15.75" customHeight="1" x14ac:dyDescent="0.25">
      <c r="C287" s="144"/>
      <c r="D287" s="176"/>
    </row>
    <row r="288" spans="3:4" ht="15.75" customHeight="1" x14ac:dyDescent="0.25">
      <c r="C288" s="144"/>
      <c r="D288" s="176"/>
    </row>
    <row r="289" spans="3:4" ht="15.75" customHeight="1" x14ac:dyDescent="0.25">
      <c r="C289" s="144"/>
      <c r="D289" s="176"/>
    </row>
    <row r="290" spans="3:4" ht="15.75" customHeight="1" x14ac:dyDescent="0.25">
      <c r="C290" s="144"/>
      <c r="D290" s="176"/>
    </row>
    <row r="291" spans="3:4" ht="15.75" customHeight="1" x14ac:dyDescent="0.25">
      <c r="C291" s="144"/>
      <c r="D291" s="176"/>
    </row>
    <row r="292" spans="3:4" ht="15.75" customHeight="1" x14ac:dyDescent="0.25">
      <c r="C292" s="144"/>
      <c r="D292" s="176"/>
    </row>
    <row r="293" spans="3:4" ht="15.75" customHeight="1" x14ac:dyDescent="0.25">
      <c r="C293" s="144"/>
      <c r="D293" s="176"/>
    </row>
    <row r="294" spans="3:4" ht="15.75" customHeight="1" x14ac:dyDescent="0.25">
      <c r="C294" s="144"/>
      <c r="D294" s="176"/>
    </row>
    <row r="295" spans="3:4" ht="15.75" customHeight="1" x14ac:dyDescent="0.25">
      <c r="C295" s="144"/>
      <c r="D295" s="176"/>
    </row>
    <row r="296" spans="3:4" ht="15.75" customHeight="1" x14ac:dyDescent="0.25">
      <c r="C296" s="144"/>
      <c r="D296" s="176"/>
    </row>
    <row r="297" spans="3:4" ht="15.75" customHeight="1" x14ac:dyDescent="0.25">
      <c r="C297" s="144"/>
      <c r="D297" s="176"/>
    </row>
    <row r="298" spans="3:4" ht="15.75" customHeight="1" x14ac:dyDescent="0.25">
      <c r="C298" s="144"/>
      <c r="D298" s="176"/>
    </row>
    <row r="299" spans="3:4" ht="15.75" customHeight="1" x14ac:dyDescent="0.25">
      <c r="C299" s="144"/>
      <c r="D299" s="176"/>
    </row>
    <row r="300" spans="3:4" ht="15.75" customHeight="1" x14ac:dyDescent="0.25">
      <c r="C300" s="144"/>
      <c r="D300" s="176"/>
    </row>
    <row r="301" spans="3:4" ht="15.75" customHeight="1" x14ac:dyDescent="0.25">
      <c r="C301" s="144"/>
      <c r="D301" s="176"/>
    </row>
    <row r="302" spans="3:4" ht="15.75" customHeight="1" x14ac:dyDescent="0.25">
      <c r="C302" s="144"/>
      <c r="D302" s="176"/>
    </row>
    <row r="303" spans="3:4" ht="15.75" customHeight="1" x14ac:dyDescent="0.25">
      <c r="C303" s="144"/>
      <c r="D303" s="176"/>
    </row>
    <row r="304" spans="3:4" ht="15.75" customHeight="1" x14ac:dyDescent="0.25">
      <c r="C304" s="144"/>
      <c r="D304" s="176"/>
    </row>
    <row r="305" spans="3:4" ht="15.75" customHeight="1" x14ac:dyDescent="0.25">
      <c r="C305" s="144"/>
      <c r="D305" s="176"/>
    </row>
    <row r="306" spans="3:4" ht="15.75" customHeight="1" x14ac:dyDescent="0.25">
      <c r="C306" s="144"/>
      <c r="D306" s="176"/>
    </row>
    <row r="307" spans="3:4" ht="15.75" customHeight="1" x14ac:dyDescent="0.25">
      <c r="C307" s="144"/>
      <c r="D307" s="176"/>
    </row>
    <row r="308" spans="3:4" ht="15.75" customHeight="1" x14ac:dyDescent="0.25">
      <c r="C308" s="144"/>
      <c r="D308" s="176"/>
    </row>
    <row r="309" spans="3:4" ht="15.75" customHeight="1" x14ac:dyDescent="0.25">
      <c r="C309" s="144"/>
      <c r="D309" s="176"/>
    </row>
    <row r="310" spans="3:4" ht="15.75" customHeight="1" x14ac:dyDescent="0.25">
      <c r="C310" s="144"/>
      <c r="D310" s="176"/>
    </row>
    <row r="311" spans="3:4" ht="15.75" customHeight="1" x14ac:dyDescent="0.25">
      <c r="C311" s="144"/>
      <c r="D311" s="176"/>
    </row>
    <row r="312" spans="3:4" ht="15.75" customHeight="1" x14ac:dyDescent="0.25">
      <c r="C312" s="144"/>
      <c r="D312" s="176"/>
    </row>
    <row r="313" spans="3:4" ht="15.75" customHeight="1" x14ac:dyDescent="0.25">
      <c r="C313" s="144"/>
      <c r="D313" s="176"/>
    </row>
    <row r="314" spans="3:4" ht="15.75" customHeight="1" x14ac:dyDescent="0.25">
      <c r="C314" s="144"/>
      <c r="D314" s="176"/>
    </row>
    <row r="315" spans="3:4" ht="15.75" customHeight="1" x14ac:dyDescent="0.25">
      <c r="C315" s="144"/>
      <c r="D315" s="176"/>
    </row>
    <row r="316" spans="3:4" ht="15.75" customHeight="1" x14ac:dyDescent="0.25">
      <c r="C316" s="144"/>
      <c r="D316" s="176"/>
    </row>
    <row r="317" spans="3:4" ht="15.75" customHeight="1" x14ac:dyDescent="0.25">
      <c r="C317" s="144"/>
      <c r="D317" s="176"/>
    </row>
    <row r="318" spans="3:4" ht="15.75" customHeight="1" x14ac:dyDescent="0.25">
      <c r="C318" s="144"/>
      <c r="D318" s="176"/>
    </row>
    <row r="319" spans="3:4" ht="15.75" customHeight="1" x14ac:dyDescent="0.25">
      <c r="C319" s="144"/>
      <c r="D319" s="176"/>
    </row>
    <row r="320" spans="3:4" ht="15.75" customHeight="1" x14ac:dyDescent="0.25">
      <c r="C320" s="144"/>
      <c r="D320" s="176"/>
    </row>
    <row r="321" spans="3:4" ht="15.75" customHeight="1" x14ac:dyDescent="0.25">
      <c r="C321" s="144"/>
      <c r="D321" s="176"/>
    </row>
    <row r="322" spans="3:4" ht="15.75" customHeight="1" x14ac:dyDescent="0.25">
      <c r="C322" s="144"/>
      <c r="D322" s="176"/>
    </row>
    <row r="323" spans="3:4" ht="15.75" customHeight="1" x14ac:dyDescent="0.25">
      <c r="C323" s="144"/>
      <c r="D323" s="176"/>
    </row>
    <row r="324" spans="3:4" ht="15.75" customHeight="1" x14ac:dyDescent="0.25">
      <c r="C324" s="144"/>
      <c r="D324" s="176"/>
    </row>
    <row r="325" spans="3:4" ht="15.75" customHeight="1" x14ac:dyDescent="0.25">
      <c r="C325" s="144"/>
      <c r="D325" s="176"/>
    </row>
    <row r="326" spans="3:4" ht="15.75" customHeight="1" x14ac:dyDescent="0.25">
      <c r="C326" s="144"/>
      <c r="D326" s="176"/>
    </row>
    <row r="327" spans="3:4" ht="15.75" customHeight="1" x14ac:dyDescent="0.25">
      <c r="C327" s="144"/>
      <c r="D327" s="176"/>
    </row>
    <row r="328" spans="3:4" ht="15.75" customHeight="1" x14ac:dyDescent="0.25">
      <c r="C328" s="144"/>
      <c r="D328" s="176"/>
    </row>
    <row r="329" spans="3:4" ht="15.75" customHeight="1" x14ac:dyDescent="0.25">
      <c r="C329" s="144"/>
      <c r="D329" s="176"/>
    </row>
    <row r="330" spans="3:4" ht="15.75" customHeight="1" x14ac:dyDescent="0.25">
      <c r="C330" s="144"/>
      <c r="D330" s="176"/>
    </row>
    <row r="331" spans="3:4" ht="15.75" customHeight="1" x14ac:dyDescent="0.25">
      <c r="C331" s="144"/>
      <c r="D331" s="176"/>
    </row>
    <row r="332" spans="3:4" ht="15.75" customHeight="1" x14ac:dyDescent="0.25">
      <c r="C332" s="144"/>
      <c r="D332" s="176"/>
    </row>
    <row r="333" spans="3:4" ht="15.75" customHeight="1" x14ac:dyDescent="0.25">
      <c r="C333" s="144"/>
      <c r="D333" s="176"/>
    </row>
    <row r="334" spans="3:4" ht="15.75" customHeight="1" x14ac:dyDescent="0.25">
      <c r="C334" s="144"/>
      <c r="D334" s="176"/>
    </row>
    <row r="335" spans="3:4" ht="15.75" customHeight="1" x14ac:dyDescent="0.25">
      <c r="C335" s="144"/>
      <c r="D335" s="176"/>
    </row>
    <row r="336" spans="3:4" ht="15.75" customHeight="1" x14ac:dyDescent="0.25">
      <c r="C336" s="144"/>
      <c r="D336" s="176"/>
    </row>
    <row r="337" spans="3:4" ht="15.75" customHeight="1" x14ac:dyDescent="0.25">
      <c r="C337" s="144"/>
      <c r="D337" s="176"/>
    </row>
    <row r="338" spans="3:4" ht="15.75" customHeight="1" x14ac:dyDescent="0.25">
      <c r="C338" s="144"/>
      <c r="D338" s="176"/>
    </row>
    <row r="339" spans="3:4" ht="15.75" customHeight="1" x14ac:dyDescent="0.25">
      <c r="C339" s="144"/>
      <c r="D339" s="176"/>
    </row>
    <row r="340" spans="3:4" ht="15.75" customHeight="1" x14ac:dyDescent="0.25">
      <c r="C340" s="144"/>
      <c r="D340" s="176"/>
    </row>
    <row r="341" spans="3:4" ht="15.75" customHeight="1" x14ac:dyDescent="0.25">
      <c r="C341" s="144"/>
      <c r="D341" s="176"/>
    </row>
    <row r="342" spans="3:4" ht="15.75" customHeight="1" x14ac:dyDescent="0.25">
      <c r="C342" s="144"/>
      <c r="D342" s="176"/>
    </row>
    <row r="343" spans="3:4" ht="15.75" customHeight="1" x14ac:dyDescent="0.25">
      <c r="C343" s="144"/>
      <c r="D343" s="176"/>
    </row>
    <row r="344" spans="3:4" ht="15.75" customHeight="1" x14ac:dyDescent="0.25">
      <c r="C344" s="144"/>
      <c r="D344" s="176"/>
    </row>
    <row r="345" spans="3:4" ht="15.75" customHeight="1" x14ac:dyDescent="0.25">
      <c r="C345" s="144"/>
      <c r="D345" s="176"/>
    </row>
    <row r="346" spans="3:4" ht="15.75" customHeight="1" x14ac:dyDescent="0.25">
      <c r="C346" s="144"/>
      <c r="D346" s="176"/>
    </row>
    <row r="347" spans="3:4" ht="15.75" customHeight="1" x14ac:dyDescent="0.25">
      <c r="C347" s="144"/>
      <c r="D347" s="176"/>
    </row>
    <row r="348" spans="3:4" ht="15.75" customHeight="1" x14ac:dyDescent="0.25">
      <c r="C348" s="144"/>
      <c r="D348" s="176"/>
    </row>
    <row r="349" spans="3:4" ht="15.75" customHeight="1" x14ac:dyDescent="0.25">
      <c r="C349" s="144"/>
      <c r="D349" s="176"/>
    </row>
    <row r="350" spans="3:4" ht="15.75" customHeight="1" x14ac:dyDescent="0.25">
      <c r="C350" s="144"/>
      <c r="D350" s="176"/>
    </row>
    <row r="351" spans="3:4" ht="15.75" customHeight="1" x14ac:dyDescent="0.25">
      <c r="C351" s="144"/>
      <c r="D351" s="176"/>
    </row>
    <row r="352" spans="3:4" ht="15.75" customHeight="1" x14ac:dyDescent="0.25">
      <c r="C352" s="144"/>
      <c r="D352" s="176"/>
    </row>
    <row r="353" spans="3:4" ht="15.75" customHeight="1" x14ac:dyDescent="0.25">
      <c r="C353" s="144"/>
      <c r="D353" s="176"/>
    </row>
    <row r="354" spans="3:4" ht="15.75" customHeight="1" x14ac:dyDescent="0.25">
      <c r="C354" s="144"/>
      <c r="D354" s="176"/>
    </row>
    <row r="355" spans="3:4" ht="15.75" customHeight="1" x14ac:dyDescent="0.25">
      <c r="C355" s="144"/>
      <c r="D355" s="176"/>
    </row>
    <row r="356" spans="3:4" ht="15.75" customHeight="1" x14ac:dyDescent="0.25">
      <c r="C356" s="144"/>
      <c r="D356" s="176"/>
    </row>
    <row r="357" spans="3:4" ht="15.75" customHeight="1" x14ac:dyDescent="0.25">
      <c r="C357" s="144"/>
      <c r="D357" s="176"/>
    </row>
    <row r="358" spans="3:4" ht="15.75" customHeight="1" x14ac:dyDescent="0.25">
      <c r="C358" s="144"/>
      <c r="D358" s="176"/>
    </row>
    <row r="359" spans="3:4" ht="15.75" customHeight="1" x14ac:dyDescent="0.25">
      <c r="C359" s="144"/>
      <c r="D359" s="176"/>
    </row>
    <row r="360" spans="3:4" ht="15.75" customHeight="1" x14ac:dyDescent="0.25">
      <c r="C360" s="144"/>
      <c r="D360" s="176"/>
    </row>
    <row r="361" spans="3:4" ht="15.75" customHeight="1" x14ac:dyDescent="0.25">
      <c r="C361" s="144"/>
      <c r="D361" s="176"/>
    </row>
    <row r="362" spans="3:4" ht="15.75" customHeight="1" x14ac:dyDescent="0.25">
      <c r="C362" s="144"/>
      <c r="D362" s="176"/>
    </row>
    <row r="363" spans="3:4" ht="15.75" customHeight="1" x14ac:dyDescent="0.25">
      <c r="C363" s="144"/>
      <c r="D363" s="176"/>
    </row>
    <row r="364" spans="3:4" ht="15.75" customHeight="1" x14ac:dyDescent="0.25">
      <c r="C364" s="144"/>
      <c r="D364" s="176"/>
    </row>
    <row r="365" spans="3:4" ht="15.75" customHeight="1" x14ac:dyDescent="0.25">
      <c r="C365" s="144"/>
      <c r="D365" s="176"/>
    </row>
    <row r="366" spans="3:4" ht="15.75" customHeight="1" x14ac:dyDescent="0.25">
      <c r="C366" s="144"/>
      <c r="D366" s="176"/>
    </row>
    <row r="367" spans="3:4" ht="15.75" customHeight="1" x14ac:dyDescent="0.25">
      <c r="C367" s="144"/>
      <c r="D367" s="176"/>
    </row>
    <row r="368" spans="3:4" ht="15.75" customHeight="1" x14ac:dyDescent="0.25">
      <c r="C368" s="144"/>
      <c r="D368" s="176"/>
    </row>
    <row r="369" spans="3:4" ht="15.75" customHeight="1" x14ac:dyDescent="0.25">
      <c r="C369" s="144"/>
      <c r="D369" s="176"/>
    </row>
    <row r="370" spans="3:4" ht="15.75" customHeight="1" x14ac:dyDescent="0.25">
      <c r="C370" s="144"/>
      <c r="D370" s="176"/>
    </row>
    <row r="371" spans="3:4" ht="15.75" customHeight="1" x14ac:dyDescent="0.25">
      <c r="C371" s="144"/>
      <c r="D371" s="176"/>
    </row>
    <row r="372" spans="3:4" ht="15.75" customHeight="1" x14ac:dyDescent="0.25">
      <c r="C372" s="144"/>
      <c r="D372" s="176"/>
    </row>
    <row r="373" spans="3:4" ht="15.75" customHeight="1" x14ac:dyDescent="0.25">
      <c r="C373" s="144"/>
      <c r="D373" s="176"/>
    </row>
    <row r="374" spans="3:4" ht="15.75" customHeight="1" x14ac:dyDescent="0.25">
      <c r="C374" s="144"/>
      <c r="D374" s="176"/>
    </row>
    <row r="375" spans="3:4" ht="15.75" customHeight="1" x14ac:dyDescent="0.25">
      <c r="C375" s="144"/>
      <c r="D375" s="176"/>
    </row>
    <row r="376" spans="3:4" ht="15.75" customHeight="1" x14ac:dyDescent="0.25">
      <c r="C376" s="144"/>
      <c r="D376" s="176"/>
    </row>
    <row r="377" spans="3:4" ht="15.75" customHeight="1" x14ac:dyDescent="0.25">
      <c r="C377" s="144"/>
      <c r="D377" s="176"/>
    </row>
    <row r="378" spans="3:4" ht="15.75" customHeight="1" x14ac:dyDescent="0.25">
      <c r="C378" s="144"/>
      <c r="D378" s="176"/>
    </row>
    <row r="379" spans="3:4" ht="15.75" customHeight="1" x14ac:dyDescent="0.25">
      <c r="C379" s="144"/>
      <c r="D379" s="176"/>
    </row>
    <row r="380" spans="3:4" ht="15.75" customHeight="1" x14ac:dyDescent="0.25">
      <c r="C380" s="144"/>
      <c r="D380" s="176"/>
    </row>
    <row r="381" spans="3:4" ht="15.75" customHeight="1" x14ac:dyDescent="0.25">
      <c r="C381" s="144"/>
      <c r="D381" s="176"/>
    </row>
    <row r="382" spans="3:4" ht="15.75" customHeight="1" x14ac:dyDescent="0.25">
      <c r="C382" s="144"/>
      <c r="D382" s="176"/>
    </row>
    <row r="383" spans="3:4" ht="15.75" customHeight="1" x14ac:dyDescent="0.25">
      <c r="C383" s="144"/>
      <c r="D383" s="176"/>
    </row>
    <row r="384" spans="3:4" ht="15.75" customHeight="1" x14ac:dyDescent="0.25">
      <c r="C384" s="144"/>
      <c r="D384" s="176"/>
    </row>
    <row r="385" spans="3:4" ht="15.75" customHeight="1" x14ac:dyDescent="0.25">
      <c r="C385" s="144"/>
      <c r="D385" s="176"/>
    </row>
    <row r="386" spans="3:4" ht="15.75" customHeight="1" x14ac:dyDescent="0.25">
      <c r="C386" s="144"/>
      <c r="D386" s="176"/>
    </row>
    <row r="387" spans="3:4" ht="15.75" customHeight="1" x14ac:dyDescent="0.25">
      <c r="C387" s="144"/>
      <c r="D387" s="176"/>
    </row>
    <row r="388" spans="3:4" ht="15.75" customHeight="1" x14ac:dyDescent="0.25">
      <c r="C388" s="144"/>
      <c r="D388" s="176"/>
    </row>
    <row r="389" spans="3:4" ht="15.75" customHeight="1" x14ac:dyDescent="0.25">
      <c r="C389" s="144"/>
      <c r="D389" s="176"/>
    </row>
    <row r="390" spans="3:4" ht="15.75" customHeight="1" x14ac:dyDescent="0.25">
      <c r="C390" s="144"/>
      <c r="D390" s="176"/>
    </row>
    <row r="391" spans="3:4" ht="15.75" customHeight="1" x14ac:dyDescent="0.25">
      <c r="C391" s="144"/>
      <c r="D391" s="176"/>
    </row>
    <row r="392" spans="3:4" ht="15.75" customHeight="1" x14ac:dyDescent="0.25">
      <c r="C392" s="144"/>
      <c r="D392" s="176"/>
    </row>
    <row r="393" spans="3:4" ht="15.75" customHeight="1" x14ac:dyDescent="0.25">
      <c r="C393" s="144"/>
      <c r="D393" s="176"/>
    </row>
    <row r="394" spans="3:4" ht="15.75" customHeight="1" x14ac:dyDescent="0.25">
      <c r="C394" s="144"/>
      <c r="D394" s="176"/>
    </row>
    <row r="395" spans="3:4" ht="15.75" customHeight="1" x14ac:dyDescent="0.25">
      <c r="C395" s="144"/>
      <c r="D395" s="176"/>
    </row>
    <row r="396" spans="3:4" ht="15.75" customHeight="1" x14ac:dyDescent="0.25">
      <c r="C396" s="144"/>
      <c r="D396" s="176"/>
    </row>
    <row r="397" spans="3:4" ht="15.75" customHeight="1" x14ac:dyDescent="0.25">
      <c r="C397" s="144"/>
      <c r="D397" s="176"/>
    </row>
    <row r="398" spans="3:4" ht="15.75" customHeight="1" x14ac:dyDescent="0.25">
      <c r="C398" s="144"/>
      <c r="D398" s="176"/>
    </row>
    <row r="399" spans="3:4" ht="15.75" customHeight="1" x14ac:dyDescent="0.25">
      <c r="C399" s="144"/>
      <c r="D399" s="176"/>
    </row>
    <row r="400" spans="3:4" ht="15.75" customHeight="1" x14ac:dyDescent="0.25">
      <c r="C400" s="144"/>
      <c r="D400" s="176"/>
    </row>
    <row r="401" spans="3:4" ht="15.75" customHeight="1" x14ac:dyDescent="0.25">
      <c r="C401" s="144"/>
      <c r="D401" s="176"/>
    </row>
    <row r="402" spans="3:4" ht="15.75" customHeight="1" x14ac:dyDescent="0.25">
      <c r="C402" s="144"/>
      <c r="D402" s="176"/>
    </row>
    <row r="403" spans="3:4" ht="15.75" customHeight="1" x14ac:dyDescent="0.25">
      <c r="C403" s="144"/>
      <c r="D403" s="176"/>
    </row>
    <row r="404" spans="3:4" ht="15.75" customHeight="1" x14ac:dyDescent="0.25">
      <c r="C404" s="144"/>
      <c r="D404" s="176"/>
    </row>
    <row r="405" spans="3:4" ht="15.75" customHeight="1" x14ac:dyDescent="0.25">
      <c r="C405" s="144"/>
      <c r="D405" s="176"/>
    </row>
    <row r="406" spans="3:4" ht="15.75" customHeight="1" x14ac:dyDescent="0.25">
      <c r="C406" s="144"/>
      <c r="D406" s="176"/>
    </row>
    <row r="407" spans="3:4" ht="15.75" customHeight="1" x14ac:dyDescent="0.25">
      <c r="C407" s="144"/>
      <c r="D407" s="176"/>
    </row>
    <row r="408" spans="3:4" ht="15.75" customHeight="1" x14ac:dyDescent="0.25">
      <c r="C408" s="144"/>
      <c r="D408" s="176"/>
    </row>
    <row r="409" spans="3:4" ht="15.75" customHeight="1" x14ac:dyDescent="0.25">
      <c r="C409" s="144"/>
      <c r="D409" s="176"/>
    </row>
    <row r="410" spans="3:4" ht="15.75" customHeight="1" x14ac:dyDescent="0.25">
      <c r="C410" s="144"/>
      <c r="D410" s="176"/>
    </row>
    <row r="411" spans="3:4" ht="15.75" customHeight="1" x14ac:dyDescent="0.25">
      <c r="C411" s="144"/>
      <c r="D411" s="176"/>
    </row>
    <row r="412" spans="3:4" ht="15.75" customHeight="1" x14ac:dyDescent="0.25">
      <c r="C412" s="144"/>
      <c r="D412" s="176"/>
    </row>
    <row r="413" spans="3:4" ht="15.75" customHeight="1" x14ac:dyDescent="0.25">
      <c r="C413" s="144"/>
      <c r="D413" s="176"/>
    </row>
    <row r="414" spans="3:4" ht="15.75" customHeight="1" x14ac:dyDescent="0.25">
      <c r="C414" s="144"/>
      <c r="D414" s="176"/>
    </row>
    <row r="415" spans="3:4" ht="15.75" customHeight="1" x14ac:dyDescent="0.25">
      <c r="C415" s="144"/>
      <c r="D415" s="176"/>
    </row>
    <row r="416" spans="3:4" ht="15.75" customHeight="1" x14ac:dyDescent="0.25">
      <c r="C416" s="144"/>
      <c r="D416" s="176"/>
    </row>
    <row r="417" spans="3:4" ht="15.75" customHeight="1" x14ac:dyDescent="0.25">
      <c r="C417" s="144"/>
      <c r="D417" s="176"/>
    </row>
    <row r="418" spans="3:4" ht="15.75" customHeight="1" x14ac:dyDescent="0.25">
      <c r="C418" s="144"/>
      <c r="D418" s="176"/>
    </row>
    <row r="419" spans="3:4" ht="15.75" customHeight="1" x14ac:dyDescent="0.25">
      <c r="C419" s="144"/>
      <c r="D419" s="176"/>
    </row>
    <row r="420" spans="3:4" ht="15.75" customHeight="1" x14ac:dyDescent="0.25">
      <c r="C420" s="144"/>
      <c r="D420" s="176"/>
    </row>
    <row r="421" spans="3:4" ht="15.75" customHeight="1" x14ac:dyDescent="0.25">
      <c r="C421" s="144"/>
      <c r="D421" s="176"/>
    </row>
    <row r="422" spans="3:4" ht="15.75" customHeight="1" x14ac:dyDescent="0.25">
      <c r="C422" s="144"/>
      <c r="D422" s="176"/>
    </row>
    <row r="423" spans="3:4" ht="15.75" customHeight="1" x14ac:dyDescent="0.25">
      <c r="C423" s="144"/>
      <c r="D423" s="176"/>
    </row>
    <row r="424" spans="3:4" ht="15.75" customHeight="1" x14ac:dyDescent="0.25">
      <c r="C424" s="144"/>
      <c r="D424" s="176"/>
    </row>
    <row r="425" spans="3:4" ht="15.75" customHeight="1" x14ac:dyDescent="0.25">
      <c r="C425" s="144"/>
      <c r="D425" s="176"/>
    </row>
    <row r="426" spans="3:4" ht="15.75" customHeight="1" x14ac:dyDescent="0.25">
      <c r="C426" s="144"/>
      <c r="D426" s="176"/>
    </row>
    <row r="427" spans="3:4" ht="15.75" customHeight="1" x14ac:dyDescent="0.25">
      <c r="C427" s="144"/>
      <c r="D427" s="176"/>
    </row>
    <row r="428" spans="3:4" ht="15.75" customHeight="1" x14ac:dyDescent="0.25">
      <c r="C428" s="144"/>
      <c r="D428" s="176"/>
    </row>
    <row r="429" spans="3:4" ht="15.75" customHeight="1" x14ac:dyDescent="0.25">
      <c r="C429" s="144"/>
      <c r="D429" s="176"/>
    </row>
    <row r="430" spans="3:4" ht="15.75" customHeight="1" x14ac:dyDescent="0.25">
      <c r="C430" s="144"/>
      <c r="D430" s="176"/>
    </row>
    <row r="431" spans="3:4" ht="15.75" customHeight="1" x14ac:dyDescent="0.25">
      <c r="C431" s="144"/>
      <c r="D431" s="176"/>
    </row>
    <row r="432" spans="3:4" ht="15.75" customHeight="1" x14ac:dyDescent="0.25">
      <c r="C432" s="144"/>
      <c r="D432" s="176"/>
    </row>
    <row r="433" spans="3:4" ht="15.75" customHeight="1" x14ac:dyDescent="0.25">
      <c r="C433" s="144"/>
      <c r="D433" s="176"/>
    </row>
    <row r="434" spans="3:4" ht="15.75" customHeight="1" x14ac:dyDescent="0.25">
      <c r="C434" s="144"/>
      <c r="D434" s="176"/>
    </row>
    <row r="435" spans="3:4" ht="15.75" customHeight="1" x14ac:dyDescent="0.25">
      <c r="C435" s="144"/>
      <c r="D435" s="176"/>
    </row>
    <row r="436" spans="3:4" ht="15.75" customHeight="1" x14ac:dyDescent="0.25">
      <c r="C436" s="144"/>
      <c r="D436" s="176"/>
    </row>
    <row r="437" spans="3:4" ht="15.75" customHeight="1" x14ac:dyDescent="0.25">
      <c r="C437" s="144"/>
      <c r="D437" s="176"/>
    </row>
    <row r="438" spans="3:4" ht="15.75" customHeight="1" x14ac:dyDescent="0.25">
      <c r="C438" s="144"/>
      <c r="D438" s="176"/>
    </row>
    <row r="439" spans="3:4" ht="15.75" customHeight="1" x14ac:dyDescent="0.25">
      <c r="C439" s="144"/>
      <c r="D439" s="176"/>
    </row>
    <row r="440" spans="3:4" ht="15.75" customHeight="1" x14ac:dyDescent="0.25">
      <c r="C440" s="144"/>
      <c r="D440" s="176"/>
    </row>
    <row r="441" spans="3:4" ht="15.75" customHeight="1" x14ac:dyDescent="0.25">
      <c r="C441" s="144"/>
      <c r="D441" s="176"/>
    </row>
    <row r="442" spans="3:4" ht="15.75" customHeight="1" x14ac:dyDescent="0.25">
      <c r="C442" s="144"/>
      <c r="D442" s="176"/>
    </row>
    <row r="443" spans="3:4" ht="15.75" customHeight="1" x14ac:dyDescent="0.25">
      <c r="C443" s="144"/>
      <c r="D443" s="176"/>
    </row>
    <row r="444" spans="3:4" ht="15.75" customHeight="1" x14ac:dyDescent="0.25">
      <c r="C444" s="144"/>
      <c r="D444" s="176"/>
    </row>
    <row r="445" spans="3:4" ht="15.75" customHeight="1" x14ac:dyDescent="0.25">
      <c r="C445" s="144"/>
      <c r="D445" s="176"/>
    </row>
    <row r="446" spans="3:4" ht="15.75" customHeight="1" x14ac:dyDescent="0.25">
      <c r="C446" s="144"/>
      <c r="D446" s="176"/>
    </row>
    <row r="447" spans="3:4" ht="15.75" customHeight="1" x14ac:dyDescent="0.25">
      <c r="C447" s="144"/>
      <c r="D447" s="176"/>
    </row>
    <row r="448" spans="3:4" ht="15.75" customHeight="1" x14ac:dyDescent="0.25">
      <c r="C448" s="144"/>
      <c r="D448" s="176"/>
    </row>
    <row r="449" spans="3:4" ht="15.75" customHeight="1" x14ac:dyDescent="0.25">
      <c r="C449" s="144"/>
      <c r="D449" s="176"/>
    </row>
    <row r="450" spans="3:4" ht="15.75" customHeight="1" x14ac:dyDescent="0.25">
      <c r="C450" s="144"/>
      <c r="D450" s="176"/>
    </row>
    <row r="451" spans="3:4" ht="15.75" customHeight="1" x14ac:dyDescent="0.25">
      <c r="C451" s="144"/>
      <c r="D451" s="176"/>
    </row>
    <row r="452" spans="3:4" ht="15.75" customHeight="1" x14ac:dyDescent="0.25">
      <c r="C452" s="144"/>
      <c r="D452" s="176"/>
    </row>
    <row r="453" spans="3:4" ht="15.75" customHeight="1" x14ac:dyDescent="0.25">
      <c r="C453" s="144"/>
      <c r="D453" s="176"/>
    </row>
    <row r="454" spans="3:4" ht="15.75" customHeight="1" x14ac:dyDescent="0.25">
      <c r="C454" s="144"/>
      <c r="D454" s="176"/>
    </row>
    <row r="455" spans="3:4" ht="15.75" customHeight="1" x14ac:dyDescent="0.25">
      <c r="C455" s="144"/>
      <c r="D455" s="176"/>
    </row>
    <row r="456" spans="3:4" ht="15.75" customHeight="1" x14ac:dyDescent="0.25">
      <c r="C456" s="144"/>
      <c r="D456" s="176"/>
    </row>
    <row r="457" spans="3:4" ht="15.75" customHeight="1" x14ac:dyDescent="0.25">
      <c r="C457" s="144"/>
      <c r="D457" s="176"/>
    </row>
    <row r="458" spans="3:4" ht="15.75" customHeight="1" x14ac:dyDescent="0.25">
      <c r="C458" s="144"/>
      <c r="D458" s="176"/>
    </row>
    <row r="459" spans="3:4" ht="15.75" customHeight="1" x14ac:dyDescent="0.25">
      <c r="C459" s="144"/>
      <c r="D459" s="176"/>
    </row>
    <row r="460" spans="3:4" ht="15.75" customHeight="1" x14ac:dyDescent="0.25">
      <c r="C460" s="144"/>
      <c r="D460" s="176"/>
    </row>
    <row r="461" spans="3:4" ht="15.75" customHeight="1" x14ac:dyDescent="0.25">
      <c r="C461" s="144"/>
      <c r="D461" s="176"/>
    </row>
    <row r="462" spans="3:4" ht="15.75" customHeight="1" x14ac:dyDescent="0.25">
      <c r="C462" s="144"/>
      <c r="D462" s="176"/>
    </row>
    <row r="463" spans="3:4" ht="15.75" customHeight="1" x14ac:dyDescent="0.25">
      <c r="C463" s="144"/>
      <c r="D463" s="176"/>
    </row>
    <row r="464" spans="3:4" ht="15.75" customHeight="1" x14ac:dyDescent="0.25">
      <c r="C464" s="144"/>
      <c r="D464" s="176"/>
    </row>
    <row r="465" spans="3:4" ht="15.75" customHeight="1" x14ac:dyDescent="0.25">
      <c r="C465" s="144"/>
      <c r="D465" s="176"/>
    </row>
    <row r="466" spans="3:4" ht="15.75" customHeight="1" x14ac:dyDescent="0.25">
      <c r="C466" s="144"/>
      <c r="D466" s="176"/>
    </row>
    <row r="467" spans="3:4" ht="15.75" customHeight="1" x14ac:dyDescent="0.25">
      <c r="C467" s="144"/>
      <c r="D467" s="176"/>
    </row>
    <row r="468" spans="3:4" ht="15.75" customHeight="1" x14ac:dyDescent="0.25">
      <c r="C468" s="144"/>
      <c r="D468" s="176"/>
    </row>
    <row r="469" spans="3:4" ht="15.75" customHeight="1" x14ac:dyDescent="0.25">
      <c r="C469" s="144"/>
      <c r="D469" s="176"/>
    </row>
    <row r="470" spans="3:4" ht="15.75" customHeight="1" x14ac:dyDescent="0.25">
      <c r="C470" s="144"/>
      <c r="D470" s="176"/>
    </row>
    <row r="471" spans="3:4" ht="15.75" customHeight="1" x14ac:dyDescent="0.25">
      <c r="C471" s="144"/>
      <c r="D471" s="176"/>
    </row>
    <row r="472" spans="3:4" ht="15.75" customHeight="1" x14ac:dyDescent="0.25">
      <c r="C472" s="144"/>
      <c r="D472" s="176"/>
    </row>
    <row r="473" spans="3:4" ht="15.75" customHeight="1" x14ac:dyDescent="0.25">
      <c r="C473" s="144"/>
      <c r="D473" s="176"/>
    </row>
    <row r="474" spans="3:4" ht="15.75" customHeight="1" x14ac:dyDescent="0.25">
      <c r="C474" s="144"/>
      <c r="D474" s="176"/>
    </row>
    <row r="475" spans="3:4" ht="15.75" customHeight="1" x14ac:dyDescent="0.25">
      <c r="C475" s="144"/>
      <c r="D475" s="176"/>
    </row>
    <row r="476" spans="3:4" ht="15.75" customHeight="1" x14ac:dyDescent="0.25">
      <c r="C476" s="144"/>
      <c r="D476" s="176"/>
    </row>
    <row r="477" spans="3:4" ht="15.75" customHeight="1" x14ac:dyDescent="0.25">
      <c r="C477" s="144"/>
      <c r="D477" s="176"/>
    </row>
    <row r="478" spans="3:4" ht="15.75" customHeight="1" x14ac:dyDescent="0.25">
      <c r="C478" s="144"/>
      <c r="D478" s="176"/>
    </row>
    <row r="479" spans="3:4" ht="15.75" customHeight="1" x14ac:dyDescent="0.25">
      <c r="C479" s="144"/>
      <c r="D479" s="176"/>
    </row>
    <row r="480" spans="3:4" ht="15.75" customHeight="1" x14ac:dyDescent="0.25">
      <c r="C480" s="144"/>
      <c r="D480" s="176"/>
    </row>
    <row r="481" spans="3:4" ht="15.75" customHeight="1" x14ac:dyDescent="0.25">
      <c r="C481" s="144"/>
      <c r="D481" s="176"/>
    </row>
    <row r="482" spans="3:4" ht="15.75" customHeight="1" x14ac:dyDescent="0.25">
      <c r="C482" s="144"/>
      <c r="D482" s="176"/>
    </row>
    <row r="483" spans="3:4" ht="15.75" customHeight="1" x14ac:dyDescent="0.25">
      <c r="C483" s="144"/>
      <c r="D483" s="176"/>
    </row>
    <row r="484" spans="3:4" ht="15.75" customHeight="1" x14ac:dyDescent="0.25">
      <c r="C484" s="144"/>
      <c r="D484" s="176"/>
    </row>
    <row r="485" spans="3:4" ht="15.75" customHeight="1" x14ac:dyDescent="0.25">
      <c r="C485" s="144"/>
      <c r="D485" s="176"/>
    </row>
    <row r="486" spans="3:4" ht="15.75" customHeight="1" x14ac:dyDescent="0.25">
      <c r="C486" s="144"/>
      <c r="D486" s="176"/>
    </row>
    <row r="487" spans="3:4" ht="15.75" customHeight="1" x14ac:dyDescent="0.25">
      <c r="C487" s="144"/>
      <c r="D487" s="176"/>
    </row>
    <row r="488" spans="3:4" ht="15.75" customHeight="1" x14ac:dyDescent="0.25">
      <c r="C488" s="144"/>
      <c r="D488" s="176"/>
    </row>
    <row r="489" spans="3:4" ht="15.75" customHeight="1" x14ac:dyDescent="0.25">
      <c r="C489" s="144"/>
      <c r="D489" s="176"/>
    </row>
    <row r="490" spans="3:4" ht="15.75" customHeight="1" x14ac:dyDescent="0.25">
      <c r="C490" s="144"/>
      <c r="D490" s="176"/>
    </row>
    <row r="491" spans="3:4" ht="15.75" customHeight="1" x14ac:dyDescent="0.25">
      <c r="C491" s="144"/>
      <c r="D491" s="176"/>
    </row>
    <row r="492" spans="3:4" ht="15.75" customHeight="1" x14ac:dyDescent="0.25">
      <c r="C492" s="144"/>
      <c r="D492" s="176"/>
    </row>
    <row r="493" spans="3:4" ht="15.75" customHeight="1" x14ac:dyDescent="0.25">
      <c r="C493" s="144"/>
      <c r="D493" s="176"/>
    </row>
    <row r="494" spans="3:4" ht="15.75" customHeight="1" x14ac:dyDescent="0.25">
      <c r="C494" s="144"/>
      <c r="D494" s="176"/>
    </row>
    <row r="495" spans="3:4" ht="15.75" customHeight="1" x14ac:dyDescent="0.25">
      <c r="C495" s="144"/>
      <c r="D495" s="176"/>
    </row>
    <row r="496" spans="3:4" ht="15.75" customHeight="1" x14ac:dyDescent="0.25">
      <c r="C496" s="144"/>
      <c r="D496" s="176"/>
    </row>
    <row r="497" spans="3:4" ht="15.75" customHeight="1" x14ac:dyDescent="0.25">
      <c r="C497" s="144"/>
      <c r="D497" s="176"/>
    </row>
    <row r="498" spans="3:4" ht="15.75" customHeight="1" x14ac:dyDescent="0.25">
      <c r="C498" s="144"/>
      <c r="D498" s="176"/>
    </row>
    <row r="499" spans="3:4" ht="15.75" customHeight="1" x14ac:dyDescent="0.25">
      <c r="C499" s="144"/>
      <c r="D499" s="176"/>
    </row>
    <row r="500" spans="3:4" ht="15.75" customHeight="1" x14ac:dyDescent="0.25">
      <c r="C500" s="144"/>
      <c r="D500" s="176"/>
    </row>
    <row r="501" spans="3:4" ht="15.75" customHeight="1" x14ac:dyDescent="0.25">
      <c r="C501" s="144"/>
      <c r="D501" s="176"/>
    </row>
    <row r="502" spans="3:4" ht="15.75" customHeight="1" x14ac:dyDescent="0.25">
      <c r="C502" s="144"/>
      <c r="D502" s="176"/>
    </row>
    <row r="503" spans="3:4" ht="15.75" customHeight="1" x14ac:dyDescent="0.25">
      <c r="C503" s="144"/>
      <c r="D503" s="176"/>
    </row>
    <row r="504" spans="3:4" ht="15.75" customHeight="1" x14ac:dyDescent="0.25">
      <c r="C504" s="144"/>
      <c r="D504" s="176"/>
    </row>
    <row r="505" spans="3:4" ht="15.75" customHeight="1" x14ac:dyDescent="0.25">
      <c r="C505" s="144"/>
      <c r="D505" s="176"/>
    </row>
    <row r="506" spans="3:4" ht="15.75" customHeight="1" x14ac:dyDescent="0.25">
      <c r="C506" s="144"/>
      <c r="D506" s="176"/>
    </row>
    <row r="507" spans="3:4" ht="15.75" customHeight="1" x14ac:dyDescent="0.25">
      <c r="C507" s="144"/>
      <c r="D507" s="176"/>
    </row>
    <row r="508" spans="3:4" ht="15.75" customHeight="1" x14ac:dyDescent="0.25">
      <c r="C508" s="144"/>
      <c r="D508" s="176"/>
    </row>
    <row r="509" spans="3:4" ht="15.75" customHeight="1" x14ac:dyDescent="0.25">
      <c r="C509" s="144"/>
      <c r="D509" s="176"/>
    </row>
    <row r="510" spans="3:4" ht="15.75" customHeight="1" x14ac:dyDescent="0.25">
      <c r="C510" s="144"/>
      <c r="D510" s="176"/>
    </row>
    <row r="511" spans="3:4" ht="15.75" customHeight="1" x14ac:dyDescent="0.25">
      <c r="C511" s="144"/>
      <c r="D511" s="176"/>
    </row>
    <row r="512" spans="3:4" ht="15.75" customHeight="1" x14ac:dyDescent="0.25">
      <c r="C512" s="144"/>
      <c r="D512" s="176"/>
    </row>
    <row r="513" spans="3:4" ht="15.75" customHeight="1" x14ac:dyDescent="0.25">
      <c r="C513" s="144"/>
      <c r="D513" s="176"/>
    </row>
    <row r="514" spans="3:4" ht="15.75" customHeight="1" x14ac:dyDescent="0.25">
      <c r="C514" s="144"/>
      <c r="D514" s="176"/>
    </row>
    <row r="515" spans="3:4" ht="15.75" customHeight="1" x14ac:dyDescent="0.25">
      <c r="C515" s="144"/>
      <c r="D515" s="176"/>
    </row>
    <row r="516" spans="3:4" ht="15.75" customHeight="1" x14ac:dyDescent="0.25">
      <c r="C516" s="144"/>
      <c r="D516" s="176"/>
    </row>
    <row r="517" spans="3:4" ht="15.75" customHeight="1" x14ac:dyDescent="0.25">
      <c r="C517" s="144"/>
      <c r="D517" s="176"/>
    </row>
    <row r="518" spans="3:4" ht="15.75" customHeight="1" x14ac:dyDescent="0.25">
      <c r="C518" s="144"/>
      <c r="D518" s="176"/>
    </row>
    <row r="519" spans="3:4" ht="15.75" customHeight="1" x14ac:dyDescent="0.25">
      <c r="C519" s="144"/>
      <c r="D519" s="176"/>
    </row>
    <row r="520" spans="3:4" ht="15.75" customHeight="1" x14ac:dyDescent="0.25">
      <c r="C520" s="144"/>
      <c r="D520" s="176"/>
    </row>
    <row r="521" spans="3:4" ht="15.75" customHeight="1" x14ac:dyDescent="0.25">
      <c r="C521" s="144"/>
      <c r="D521" s="176"/>
    </row>
    <row r="522" spans="3:4" ht="15.75" customHeight="1" x14ac:dyDescent="0.25">
      <c r="C522" s="144"/>
      <c r="D522" s="176"/>
    </row>
    <row r="523" spans="3:4" ht="15.75" customHeight="1" x14ac:dyDescent="0.25">
      <c r="C523" s="144"/>
      <c r="D523" s="176"/>
    </row>
    <row r="524" spans="3:4" ht="15.75" customHeight="1" x14ac:dyDescent="0.25">
      <c r="C524" s="144"/>
      <c r="D524" s="176"/>
    </row>
    <row r="525" spans="3:4" ht="15.75" customHeight="1" x14ac:dyDescent="0.25">
      <c r="C525" s="144"/>
      <c r="D525" s="176"/>
    </row>
    <row r="526" spans="3:4" ht="15.75" customHeight="1" x14ac:dyDescent="0.25">
      <c r="C526" s="144"/>
      <c r="D526" s="176"/>
    </row>
    <row r="527" spans="3:4" ht="15.75" customHeight="1" x14ac:dyDescent="0.25">
      <c r="C527" s="144"/>
      <c r="D527" s="176"/>
    </row>
    <row r="528" spans="3:4" ht="15.75" customHeight="1" x14ac:dyDescent="0.25">
      <c r="C528" s="144"/>
      <c r="D528" s="176"/>
    </row>
    <row r="529" spans="3:4" ht="15.75" customHeight="1" x14ac:dyDescent="0.25">
      <c r="C529" s="144"/>
      <c r="D529" s="176"/>
    </row>
    <row r="530" spans="3:4" ht="15.75" customHeight="1" x14ac:dyDescent="0.25">
      <c r="C530" s="144"/>
      <c r="D530" s="176"/>
    </row>
    <row r="531" spans="3:4" ht="15.75" customHeight="1" x14ac:dyDescent="0.25">
      <c r="C531" s="144"/>
      <c r="D531" s="176"/>
    </row>
    <row r="532" spans="3:4" ht="15.75" customHeight="1" x14ac:dyDescent="0.25">
      <c r="C532" s="144"/>
      <c r="D532" s="176"/>
    </row>
    <row r="533" spans="3:4" ht="15.75" customHeight="1" x14ac:dyDescent="0.25">
      <c r="C533" s="144"/>
      <c r="D533" s="176"/>
    </row>
    <row r="534" spans="3:4" ht="15.75" customHeight="1" x14ac:dyDescent="0.25">
      <c r="C534" s="144"/>
      <c r="D534" s="176"/>
    </row>
    <row r="535" spans="3:4" ht="15.75" customHeight="1" x14ac:dyDescent="0.25">
      <c r="C535" s="144"/>
      <c r="D535" s="176"/>
    </row>
    <row r="536" spans="3:4" ht="15.75" customHeight="1" x14ac:dyDescent="0.25">
      <c r="C536" s="144"/>
      <c r="D536" s="176"/>
    </row>
    <row r="537" spans="3:4" ht="15.75" customHeight="1" x14ac:dyDescent="0.25">
      <c r="C537" s="144"/>
      <c r="D537" s="176"/>
    </row>
    <row r="538" spans="3:4" ht="15.75" customHeight="1" x14ac:dyDescent="0.25">
      <c r="C538" s="144"/>
      <c r="D538" s="176"/>
    </row>
    <row r="539" spans="3:4" ht="15.75" customHeight="1" x14ac:dyDescent="0.25">
      <c r="C539" s="144"/>
      <c r="D539" s="176"/>
    </row>
    <row r="540" spans="3:4" ht="15.75" customHeight="1" x14ac:dyDescent="0.25">
      <c r="C540" s="144"/>
      <c r="D540" s="176"/>
    </row>
    <row r="541" spans="3:4" ht="15.75" customHeight="1" x14ac:dyDescent="0.25">
      <c r="C541" s="144"/>
      <c r="D541" s="176"/>
    </row>
    <row r="542" spans="3:4" ht="15.75" customHeight="1" x14ac:dyDescent="0.25">
      <c r="C542" s="144"/>
      <c r="D542" s="176"/>
    </row>
    <row r="543" spans="3:4" ht="15.75" customHeight="1" x14ac:dyDescent="0.25">
      <c r="C543" s="144"/>
      <c r="D543" s="176"/>
    </row>
    <row r="544" spans="3:4" ht="15.75" customHeight="1" x14ac:dyDescent="0.25">
      <c r="C544" s="144"/>
      <c r="D544" s="176"/>
    </row>
    <row r="545" spans="3:4" ht="15.75" customHeight="1" x14ac:dyDescent="0.25">
      <c r="C545" s="144"/>
      <c r="D545" s="176"/>
    </row>
    <row r="546" spans="3:4" ht="15.75" customHeight="1" x14ac:dyDescent="0.25">
      <c r="C546" s="144"/>
      <c r="D546" s="176"/>
    </row>
    <row r="547" spans="3:4" ht="15.75" customHeight="1" x14ac:dyDescent="0.25">
      <c r="C547" s="144"/>
      <c r="D547" s="176"/>
    </row>
    <row r="548" spans="3:4" ht="15.75" customHeight="1" x14ac:dyDescent="0.25">
      <c r="C548" s="144"/>
      <c r="D548" s="176"/>
    </row>
    <row r="549" spans="3:4" ht="15.75" customHeight="1" x14ac:dyDescent="0.25">
      <c r="C549" s="144"/>
      <c r="D549" s="176"/>
    </row>
    <row r="550" spans="3:4" ht="15.75" customHeight="1" x14ac:dyDescent="0.25">
      <c r="C550" s="144"/>
      <c r="D550" s="176"/>
    </row>
    <row r="551" spans="3:4" ht="15.75" customHeight="1" x14ac:dyDescent="0.25">
      <c r="C551" s="144"/>
      <c r="D551" s="176"/>
    </row>
    <row r="552" spans="3:4" ht="15.75" customHeight="1" x14ac:dyDescent="0.25">
      <c r="C552" s="144"/>
      <c r="D552" s="176"/>
    </row>
    <row r="553" spans="3:4" ht="15.75" customHeight="1" x14ac:dyDescent="0.25">
      <c r="C553" s="144"/>
      <c r="D553" s="176"/>
    </row>
    <row r="554" spans="3:4" ht="15.75" customHeight="1" x14ac:dyDescent="0.25">
      <c r="C554" s="144"/>
      <c r="D554" s="176"/>
    </row>
    <row r="555" spans="3:4" ht="15.75" customHeight="1" x14ac:dyDescent="0.25">
      <c r="C555" s="144"/>
      <c r="D555" s="176"/>
    </row>
    <row r="556" spans="3:4" ht="15.75" customHeight="1" x14ac:dyDescent="0.25">
      <c r="C556" s="144"/>
      <c r="D556" s="176"/>
    </row>
    <row r="557" spans="3:4" ht="15.75" customHeight="1" x14ac:dyDescent="0.25">
      <c r="C557" s="144"/>
      <c r="D557" s="176"/>
    </row>
    <row r="558" spans="3:4" ht="15.75" customHeight="1" x14ac:dyDescent="0.25">
      <c r="C558" s="144"/>
      <c r="D558" s="176"/>
    </row>
    <row r="559" spans="3:4" ht="15.75" customHeight="1" x14ac:dyDescent="0.25">
      <c r="C559" s="144"/>
      <c r="D559" s="176"/>
    </row>
    <row r="560" spans="3:4" ht="15.75" customHeight="1" x14ac:dyDescent="0.25">
      <c r="C560" s="144"/>
      <c r="D560" s="176"/>
    </row>
    <row r="561" spans="3:4" ht="15.75" customHeight="1" x14ac:dyDescent="0.25">
      <c r="C561" s="144"/>
      <c r="D561" s="176"/>
    </row>
    <row r="562" spans="3:4" ht="15.75" customHeight="1" x14ac:dyDescent="0.25">
      <c r="C562" s="144"/>
      <c r="D562" s="176"/>
    </row>
    <row r="563" spans="3:4" ht="15.75" customHeight="1" x14ac:dyDescent="0.25">
      <c r="C563" s="144"/>
      <c r="D563" s="176"/>
    </row>
    <row r="564" spans="3:4" ht="15.75" customHeight="1" x14ac:dyDescent="0.25">
      <c r="C564" s="144"/>
      <c r="D564" s="176"/>
    </row>
    <row r="565" spans="3:4" ht="15.75" customHeight="1" x14ac:dyDescent="0.25">
      <c r="C565" s="144"/>
      <c r="D565" s="176"/>
    </row>
    <row r="566" spans="3:4" ht="15.75" customHeight="1" x14ac:dyDescent="0.25">
      <c r="C566" s="144"/>
      <c r="D566" s="176"/>
    </row>
    <row r="567" spans="3:4" ht="15.75" customHeight="1" x14ac:dyDescent="0.25">
      <c r="C567" s="144"/>
      <c r="D567" s="176"/>
    </row>
    <row r="568" spans="3:4" ht="15.75" customHeight="1" x14ac:dyDescent="0.25">
      <c r="C568" s="144"/>
      <c r="D568" s="176"/>
    </row>
    <row r="569" spans="3:4" ht="15.75" customHeight="1" x14ac:dyDescent="0.25">
      <c r="C569" s="144"/>
      <c r="D569" s="176"/>
    </row>
    <row r="570" spans="3:4" ht="15.75" customHeight="1" x14ac:dyDescent="0.25">
      <c r="C570" s="144"/>
      <c r="D570" s="176"/>
    </row>
    <row r="571" spans="3:4" ht="15.75" customHeight="1" x14ac:dyDescent="0.25">
      <c r="C571" s="144"/>
      <c r="D571" s="176"/>
    </row>
    <row r="572" spans="3:4" ht="15.75" customHeight="1" x14ac:dyDescent="0.25">
      <c r="C572" s="144"/>
      <c r="D572" s="176"/>
    </row>
    <row r="573" spans="3:4" ht="15.75" customHeight="1" x14ac:dyDescent="0.25">
      <c r="C573" s="144"/>
      <c r="D573" s="176"/>
    </row>
    <row r="574" spans="3:4" ht="15.75" customHeight="1" x14ac:dyDescent="0.25">
      <c r="C574" s="144"/>
      <c r="D574" s="176"/>
    </row>
    <row r="575" spans="3:4" ht="15.75" customHeight="1" x14ac:dyDescent="0.25">
      <c r="C575" s="144"/>
      <c r="D575" s="176"/>
    </row>
    <row r="576" spans="3:4" ht="15.75" customHeight="1" x14ac:dyDescent="0.25">
      <c r="C576" s="144"/>
      <c r="D576" s="176"/>
    </row>
    <row r="577" spans="3:4" ht="15.75" customHeight="1" x14ac:dyDescent="0.25">
      <c r="C577" s="144"/>
      <c r="D577" s="176"/>
    </row>
    <row r="578" spans="3:4" ht="15.75" customHeight="1" x14ac:dyDescent="0.25">
      <c r="C578" s="144"/>
      <c r="D578" s="176"/>
    </row>
    <row r="579" spans="3:4" ht="15.75" customHeight="1" x14ac:dyDescent="0.25">
      <c r="C579" s="144"/>
      <c r="D579" s="176"/>
    </row>
    <row r="580" spans="3:4" ht="15.75" customHeight="1" x14ac:dyDescent="0.25">
      <c r="C580" s="144"/>
      <c r="D580" s="176"/>
    </row>
    <row r="581" spans="3:4" ht="15.75" customHeight="1" x14ac:dyDescent="0.25">
      <c r="C581" s="144"/>
      <c r="D581" s="176"/>
    </row>
    <row r="582" spans="3:4" ht="15.75" customHeight="1" x14ac:dyDescent="0.25">
      <c r="C582" s="144"/>
      <c r="D582" s="176"/>
    </row>
    <row r="583" spans="3:4" ht="15.75" customHeight="1" x14ac:dyDescent="0.25">
      <c r="C583" s="144"/>
      <c r="D583" s="176"/>
    </row>
    <row r="584" spans="3:4" ht="15.75" customHeight="1" x14ac:dyDescent="0.25">
      <c r="C584" s="144"/>
      <c r="D584" s="176"/>
    </row>
    <row r="585" spans="3:4" ht="15.75" customHeight="1" x14ac:dyDescent="0.25">
      <c r="C585" s="144"/>
      <c r="D585" s="176"/>
    </row>
    <row r="586" spans="3:4" ht="15.75" customHeight="1" x14ac:dyDescent="0.25">
      <c r="C586" s="144"/>
      <c r="D586" s="176"/>
    </row>
    <row r="587" spans="3:4" ht="15.75" customHeight="1" x14ac:dyDescent="0.25">
      <c r="C587" s="144"/>
      <c r="D587" s="176"/>
    </row>
    <row r="588" spans="3:4" ht="15.75" customHeight="1" x14ac:dyDescent="0.25">
      <c r="C588" s="144"/>
      <c r="D588" s="176"/>
    </row>
    <row r="589" spans="3:4" ht="15.75" customHeight="1" x14ac:dyDescent="0.25">
      <c r="C589" s="144"/>
      <c r="D589" s="176"/>
    </row>
    <row r="590" spans="3:4" ht="15.75" customHeight="1" x14ac:dyDescent="0.25">
      <c r="C590" s="144"/>
      <c r="D590" s="176"/>
    </row>
    <row r="591" spans="3:4" ht="15.75" customHeight="1" x14ac:dyDescent="0.25">
      <c r="C591" s="144"/>
      <c r="D591" s="176"/>
    </row>
    <row r="592" spans="3:4" ht="15.75" customHeight="1" x14ac:dyDescent="0.25">
      <c r="C592" s="144"/>
      <c r="D592" s="176"/>
    </row>
    <row r="593" spans="3:4" ht="15.75" customHeight="1" x14ac:dyDescent="0.25">
      <c r="C593" s="144"/>
      <c r="D593" s="176"/>
    </row>
    <row r="594" spans="3:4" ht="15.75" customHeight="1" x14ac:dyDescent="0.25">
      <c r="C594" s="144"/>
      <c r="D594" s="176"/>
    </row>
    <row r="595" spans="3:4" ht="15.75" customHeight="1" x14ac:dyDescent="0.25">
      <c r="C595" s="144"/>
      <c r="D595" s="176"/>
    </row>
    <row r="596" spans="3:4" ht="15.75" customHeight="1" x14ac:dyDescent="0.25">
      <c r="C596" s="144"/>
      <c r="D596" s="176"/>
    </row>
    <row r="597" spans="3:4" ht="15.75" customHeight="1" x14ac:dyDescent="0.25">
      <c r="C597" s="144"/>
      <c r="D597" s="176"/>
    </row>
    <row r="598" spans="3:4" ht="15.75" customHeight="1" x14ac:dyDescent="0.25">
      <c r="C598" s="144"/>
      <c r="D598" s="176"/>
    </row>
    <row r="599" spans="3:4" ht="15.75" customHeight="1" x14ac:dyDescent="0.25">
      <c r="C599" s="144"/>
      <c r="D599" s="176"/>
    </row>
    <row r="600" spans="3:4" ht="15.75" customHeight="1" x14ac:dyDescent="0.25">
      <c r="C600" s="144"/>
      <c r="D600" s="176"/>
    </row>
    <row r="601" spans="3:4" ht="15.75" customHeight="1" x14ac:dyDescent="0.25">
      <c r="C601" s="144"/>
      <c r="D601" s="176"/>
    </row>
    <row r="602" spans="3:4" ht="15.75" customHeight="1" x14ac:dyDescent="0.25">
      <c r="C602" s="144"/>
      <c r="D602" s="176"/>
    </row>
    <row r="603" spans="3:4" ht="15.75" customHeight="1" x14ac:dyDescent="0.25">
      <c r="C603" s="144"/>
      <c r="D603" s="176"/>
    </row>
    <row r="604" spans="3:4" ht="15.75" customHeight="1" x14ac:dyDescent="0.25">
      <c r="C604" s="144"/>
      <c r="D604" s="176"/>
    </row>
    <row r="605" spans="3:4" ht="15.75" customHeight="1" x14ac:dyDescent="0.25">
      <c r="C605" s="144"/>
      <c r="D605" s="176"/>
    </row>
    <row r="606" spans="3:4" ht="15.75" customHeight="1" x14ac:dyDescent="0.25">
      <c r="C606" s="144"/>
      <c r="D606" s="176"/>
    </row>
    <row r="607" spans="3:4" ht="15.75" customHeight="1" x14ac:dyDescent="0.25">
      <c r="C607" s="144"/>
      <c r="D607" s="176"/>
    </row>
    <row r="608" spans="3:4" ht="15.75" customHeight="1" x14ac:dyDescent="0.25">
      <c r="C608" s="144"/>
      <c r="D608" s="176"/>
    </row>
    <row r="609" spans="3:4" ht="15.75" customHeight="1" x14ac:dyDescent="0.25">
      <c r="C609" s="144"/>
      <c r="D609" s="176"/>
    </row>
    <row r="610" spans="3:4" ht="15.75" customHeight="1" x14ac:dyDescent="0.25">
      <c r="C610" s="144"/>
      <c r="D610" s="176"/>
    </row>
    <row r="611" spans="3:4" ht="15.75" customHeight="1" x14ac:dyDescent="0.25">
      <c r="C611" s="144"/>
      <c r="D611" s="176"/>
    </row>
    <row r="612" spans="3:4" ht="15.75" customHeight="1" x14ac:dyDescent="0.25">
      <c r="C612" s="144"/>
      <c r="D612" s="176"/>
    </row>
    <row r="613" spans="3:4" ht="15.75" customHeight="1" x14ac:dyDescent="0.25">
      <c r="C613" s="144"/>
      <c r="D613" s="176"/>
    </row>
    <row r="614" spans="3:4" ht="15.75" customHeight="1" x14ac:dyDescent="0.25">
      <c r="C614" s="144"/>
      <c r="D614" s="176"/>
    </row>
    <row r="615" spans="3:4" ht="15.75" customHeight="1" x14ac:dyDescent="0.25">
      <c r="C615" s="144"/>
      <c r="D615" s="176"/>
    </row>
    <row r="616" spans="3:4" ht="15.75" customHeight="1" x14ac:dyDescent="0.25">
      <c r="C616" s="144"/>
      <c r="D616" s="176"/>
    </row>
    <row r="617" spans="3:4" ht="15.75" customHeight="1" x14ac:dyDescent="0.25">
      <c r="C617" s="144"/>
      <c r="D617" s="176"/>
    </row>
    <row r="618" spans="3:4" ht="15.75" customHeight="1" x14ac:dyDescent="0.25">
      <c r="C618" s="144"/>
      <c r="D618" s="176"/>
    </row>
    <row r="619" spans="3:4" ht="15.75" customHeight="1" x14ac:dyDescent="0.25">
      <c r="C619" s="144"/>
      <c r="D619" s="176"/>
    </row>
    <row r="620" spans="3:4" ht="15.75" customHeight="1" x14ac:dyDescent="0.25">
      <c r="C620" s="144"/>
      <c r="D620" s="176"/>
    </row>
    <row r="621" spans="3:4" ht="15.75" customHeight="1" x14ac:dyDescent="0.25">
      <c r="C621" s="144"/>
      <c r="D621" s="176"/>
    </row>
    <row r="622" spans="3:4" ht="15.75" customHeight="1" x14ac:dyDescent="0.25">
      <c r="C622" s="144"/>
      <c r="D622" s="176"/>
    </row>
    <row r="623" spans="3:4" ht="15.75" customHeight="1" x14ac:dyDescent="0.25">
      <c r="C623" s="144"/>
      <c r="D623" s="176"/>
    </row>
    <row r="624" spans="3:4" ht="15.75" customHeight="1" x14ac:dyDescent="0.25">
      <c r="C624" s="144"/>
      <c r="D624" s="176"/>
    </row>
    <row r="625" spans="3:4" ht="15.75" customHeight="1" x14ac:dyDescent="0.25">
      <c r="C625" s="144"/>
      <c r="D625" s="176"/>
    </row>
    <row r="626" spans="3:4" ht="15.75" customHeight="1" x14ac:dyDescent="0.25">
      <c r="C626" s="144"/>
      <c r="D626" s="176"/>
    </row>
    <row r="627" spans="3:4" ht="15.75" customHeight="1" x14ac:dyDescent="0.25">
      <c r="C627" s="144"/>
      <c r="D627" s="176"/>
    </row>
    <row r="628" spans="3:4" ht="15.75" customHeight="1" x14ac:dyDescent="0.25">
      <c r="C628" s="144"/>
      <c r="D628" s="176"/>
    </row>
    <row r="629" spans="3:4" ht="15.75" customHeight="1" x14ac:dyDescent="0.25">
      <c r="C629" s="144"/>
      <c r="D629" s="176"/>
    </row>
    <row r="630" spans="3:4" ht="15.75" customHeight="1" x14ac:dyDescent="0.25">
      <c r="C630" s="144"/>
      <c r="D630" s="176"/>
    </row>
    <row r="631" spans="3:4" ht="15.75" customHeight="1" x14ac:dyDescent="0.25">
      <c r="C631" s="144"/>
      <c r="D631" s="176"/>
    </row>
    <row r="632" spans="3:4" ht="15.75" customHeight="1" x14ac:dyDescent="0.25">
      <c r="C632" s="144"/>
      <c r="D632" s="176"/>
    </row>
    <row r="633" spans="3:4" ht="15.75" customHeight="1" x14ac:dyDescent="0.25">
      <c r="C633" s="144"/>
      <c r="D633" s="176"/>
    </row>
    <row r="634" spans="3:4" ht="15.75" customHeight="1" x14ac:dyDescent="0.25">
      <c r="C634" s="144"/>
      <c r="D634" s="176"/>
    </row>
    <row r="635" spans="3:4" ht="15.75" customHeight="1" x14ac:dyDescent="0.25">
      <c r="C635" s="144"/>
      <c r="D635" s="176"/>
    </row>
    <row r="636" spans="3:4" ht="15.75" customHeight="1" x14ac:dyDescent="0.25">
      <c r="C636" s="144"/>
      <c r="D636" s="176"/>
    </row>
    <row r="637" spans="3:4" ht="15.75" customHeight="1" x14ac:dyDescent="0.25">
      <c r="C637" s="144"/>
      <c r="D637" s="176"/>
    </row>
    <row r="638" spans="3:4" ht="15.75" customHeight="1" x14ac:dyDescent="0.25">
      <c r="C638" s="144"/>
      <c r="D638" s="176"/>
    </row>
    <row r="639" spans="3:4" ht="15.75" customHeight="1" x14ac:dyDescent="0.25">
      <c r="C639" s="144"/>
      <c r="D639" s="176"/>
    </row>
    <row r="640" spans="3:4" ht="15.75" customHeight="1" x14ac:dyDescent="0.25">
      <c r="C640" s="144"/>
      <c r="D640" s="176"/>
    </row>
    <row r="641" spans="3:4" ht="15.75" customHeight="1" x14ac:dyDescent="0.25">
      <c r="C641" s="144"/>
      <c r="D641" s="176"/>
    </row>
    <row r="642" spans="3:4" ht="15.75" customHeight="1" x14ac:dyDescent="0.25">
      <c r="C642" s="144"/>
      <c r="D642" s="176"/>
    </row>
    <row r="643" spans="3:4" ht="15.75" customHeight="1" x14ac:dyDescent="0.25">
      <c r="C643" s="144"/>
      <c r="D643" s="176"/>
    </row>
    <row r="644" spans="3:4" ht="15.75" customHeight="1" x14ac:dyDescent="0.25">
      <c r="C644" s="144"/>
      <c r="D644" s="176"/>
    </row>
    <row r="645" spans="3:4" ht="15.75" customHeight="1" x14ac:dyDescent="0.25">
      <c r="C645" s="144"/>
      <c r="D645" s="176"/>
    </row>
    <row r="646" spans="3:4" ht="15.75" customHeight="1" x14ac:dyDescent="0.25">
      <c r="C646" s="144"/>
      <c r="D646" s="176"/>
    </row>
    <row r="647" spans="3:4" ht="15.75" customHeight="1" x14ac:dyDescent="0.25">
      <c r="C647" s="144"/>
      <c r="D647" s="176"/>
    </row>
    <row r="648" spans="3:4" ht="15.75" customHeight="1" x14ac:dyDescent="0.25">
      <c r="C648" s="144"/>
      <c r="D648" s="176"/>
    </row>
    <row r="649" spans="3:4" ht="15.75" customHeight="1" x14ac:dyDescent="0.25">
      <c r="C649" s="144"/>
      <c r="D649" s="176"/>
    </row>
    <row r="650" spans="3:4" ht="15.75" customHeight="1" x14ac:dyDescent="0.25">
      <c r="C650" s="144"/>
      <c r="D650" s="176"/>
    </row>
    <row r="651" spans="3:4" ht="15.75" customHeight="1" x14ac:dyDescent="0.25">
      <c r="C651" s="144"/>
      <c r="D651" s="176"/>
    </row>
    <row r="652" spans="3:4" ht="15.75" customHeight="1" x14ac:dyDescent="0.25">
      <c r="C652" s="144"/>
      <c r="D652" s="176"/>
    </row>
    <row r="653" spans="3:4" ht="15.75" customHeight="1" x14ac:dyDescent="0.25">
      <c r="C653" s="144"/>
      <c r="D653" s="176"/>
    </row>
    <row r="654" spans="3:4" ht="15.75" customHeight="1" x14ac:dyDescent="0.25">
      <c r="C654" s="144"/>
      <c r="D654" s="176"/>
    </row>
    <row r="655" spans="3:4" ht="15.75" customHeight="1" x14ac:dyDescent="0.25">
      <c r="C655" s="144"/>
      <c r="D655" s="176"/>
    </row>
    <row r="656" spans="3:4" ht="15.75" customHeight="1" x14ac:dyDescent="0.25">
      <c r="C656" s="144"/>
      <c r="D656" s="176"/>
    </row>
    <row r="657" spans="3:4" ht="15.75" customHeight="1" x14ac:dyDescent="0.25">
      <c r="C657" s="144"/>
      <c r="D657" s="176"/>
    </row>
    <row r="658" spans="3:4" ht="15.75" customHeight="1" x14ac:dyDescent="0.25">
      <c r="C658" s="144"/>
      <c r="D658" s="176"/>
    </row>
    <row r="659" spans="3:4" ht="15.75" customHeight="1" x14ac:dyDescent="0.25">
      <c r="C659" s="144"/>
      <c r="D659" s="176"/>
    </row>
    <row r="660" spans="3:4" ht="15.75" customHeight="1" x14ac:dyDescent="0.25">
      <c r="C660" s="144"/>
      <c r="D660" s="176"/>
    </row>
    <row r="661" spans="3:4" ht="15.75" customHeight="1" x14ac:dyDescent="0.25">
      <c r="C661" s="144"/>
      <c r="D661" s="176"/>
    </row>
    <row r="662" spans="3:4" ht="15.75" customHeight="1" x14ac:dyDescent="0.25">
      <c r="C662" s="144"/>
      <c r="D662" s="176"/>
    </row>
    <row r="663" spans="3:4" ht="15.75" customHeight="1" x14ac:dyDescent="0.25">
      <c r="C663" s="144"/>
      <c r="D663" s="176"/>
    </row>
    <row r="664" spans="3:4" ht="15.75" customHeight="1" x14ac:dyDescent="0.25">
      <c r="C664" s="144"/>
      <c r="D664" s="176"/>
    </row>
    <row r="665" spans="3:4" ht="15.75" customHeight="1" x14ac:dyDescent="0.25">
      <c r="C665" s="144"/>
      <c r="D665" s="176"/>
    </row>
    <row r="666" spans="3:4" ht="15.75" customHeight="1" x14ac:dyDescent="0.25">
      <c r="C666" s="144"/>
      <c r="D666" s="176"/>
    </row>
    <row r="667" spans="3:4" ht="15.75" customHeight="1" x14ac:dyDescent="0.25">
      <c r="C667" s="144"/>
      <c r="D667" s="176"/>
    </row>
    <row r="668" spans="3:4" ht="15.75" customHeight="1" x14ac:dyDescent="0.25">
      <c r="C668" s="144"/>
      <c r="D668" s="176"/>
    </row>
    <row r="669" spans="3:4" ht="15.75" customHeight="1" x14ac:dyDescent="0.25">
      <c r="C669" s="144"/>
      <c r="D669" s="176"/>
    </row>
    <row r="670" spans="3:4" ht="15.75" customHeight="1" x14ac:dyDescent="0.25">
      <c r="C670" s="144"/>
      <c r="D670" s="176"/>
    </row>
    <row r="671" spans="3:4" ht="15.75" customHeight="1" x14ac:dyDescent="0.25">
      <c r="C671" s="144"/>
      <c r="D671" s="176"/>
    </row>
    <row r="672" spans="3:4" ht="15.75" customHeight="1" x14ac:dyDescent="0.25">
      <c r="C672" s="144"/>
      <c r="D672" s="176"/>
    </row>
    <row r="673" spans="3:4" ht="15.75" customHeight="1" x14ac:dyDescent="0.25">
      <c r="C673" s="144"/>
      <c r="D673" s="176"/>
    </row>
    <row r="674" spans="3:4" ht="15.75" customHeight="1" x14ac:dyDescent="0.25">
      <c r="C674" s="144"/>
      <c r="D674" s="176"/>
    </row>
    <row r="675" spans="3:4" ht="15.75" customHeight="1" x14ac:dyDescent="0.25">
      <c r="C675" s="144"/>
      <c r="D675" s="176"/>
    </row>
    <row r="676" spans="3:4" ht="15.75" customHeight="1" x14ac:dyDescent="0.25">
      <c r="C676" s="144"/>
      <c r="D676" s="176"/>
    </row>
    <row r="677" spans="3:4" ht="15.75" customHeight="1" x14ac:dyDescent="0.25">
      <c r="C677" s="144"/>
      <c r="D677" s="176"/>
    </row>
    <row r="678" spans="3:4" ht="15.75" customHeight="1" x14ac:dyDescent="0.25">
      <c r="C678" s="144"/>
      <c r="D678" s="176"/>
    </row>
    <row r="679" spans="3:4" ht="15.75" customHeight="1" x14ac:dyDescent="0.25">
      <c r="C679" s="144"/>
      <c r="D679" s="176"/>
    </row>
    <row r="680" spans="3:4" ht="15.75" customHeight="1" x14ac:dyDescent="0.25">
      <c r="C680" s="144"/>
      <c r="D680" s="176"/>
    </row>
    <row r="681" spans="3:4" ht="15.75" customHeight="1" x14ac:dyDescent="0.25">
      <c r="C681" s="144"/>
      <c r="D681" s="176"/>
    </row>
    <row r="682" spans="3:4" ht="15.75" customHeight="1" x14ac:dyDescent="0.25">
      <c r="C682" s="144"/>
      <c r="D682" s="176"/>
    </row>
    <row r="683" spans="3:4" ht="15.75" customHeight="1" x14ac:dyDescent="0.25">
      <c r="C683" s="144"/>
      <c r="D683" s="176"/>
    </row>
    <row r="684" spans="3:4" ht="15.75" customHeight="1" x14ac:dyDescent="0.25">
      <c r="C684" s="144"/>
      <c r="D684" s="176"/>
    </row>
    <row r="685" spans="3:4" ht="15.75" customHeight="1" x14ac:dyDescent="0.25">
      <c r="C685" s="144"/>
      <c r="D685" s="176"/>
    </row>
    <row r="686" spans="3:4" ht="15.75" customHeight="1" x14ac:dyDescent="0.25">
      <c r="C686" s="144"/>
      <c r="D686" s="176"/>
    </row>
    <row r="687" spans="3:4" ht="15.75" customHeight="1" x14ac:dyDescent="0.25">
      <c r="C687" s="144"/>
      <c r="D687" s="176"/>
    </row>
    <row r="688" spans="3:4" ht="15.75" customHeight="1" x14ac:dyDescent="0.25">
      <c r="C688" s="144"/>
      <c r="D688" s="176"/>
    </row>
    <row r="689" spans="3:4" ht="15.75" customHeight="1" x14ac:dyDescent="0.25">
      <c r="C689" s="144"/>
      <c r="D689" s="176"/>
    </row>
    <row r="690" spans="3:4" ht="15.75" customHeight="1" x14ac:dyDescent="0.25">
      <c r="C690" s="144"/>
      <c r="D690" s="176"/>
    </row>
    <row r="691" spans="3:4" ht="15.75" customHeight="1" x14ac:dyDescent="0.25">
      <c r="C691" s="144"/>
      <c r="D691" s="176"/>
    </row>
    <row r="692" spans="3:4" ht="15.75" customHeight="1" x14ac:dyDescent="0.25">
      <c r="C692" s="144"/>
      <c r="D692" s="176"/>
    </row>
    <row r="693" spans="3:4" ht="15.75" customHeight="1" x14ac:dyDescent="0.25">
      <c r="C693" s="144"/>
      <c r="D693" s="176"/>
    </row>
    <row r="694" spans="3:4" ht="15.75" customHeight="1" x14ac:dyDescent="0.25">
      <c r="C694" s="144"/>
      <c r="D694" s="176"/>
    </row>
    <row r="695" spans="3:4" ht="15.75" customHeight="1" x14ac:dyDescent="0.25">
      <c r="C695" s="144"/>
      <c r="D695" s="176"/>
    </row>
    <row r="696" spans="3:4" ht="15.75" customHeight="1" x14ac:dyDescent="0.25">
      <c r="C696" s="144"/>
      <c r="D696" s="176"/>
    </row>
    <row r="697" spans="3:4" ht="15.75" customHeight="1" x14ac:dyDescent="0.25">
      <c r="C697" s="144"/>
      <c r="D697" s="176"/>
    </row>
    <row r="698" spans="3:4" ht="15.75" customHeight="1" x14ac:dyDescent="0.25">
      <c r="C698" s="144"/>
      <c r="D698" s="176"/>
    </row>
    <row r="699" spans="3:4" ht="15.75" customHeight="1" x14ac:dyDescent="0.25">
      <c r="C699" s="144"/>
      <c r="D699" s="176"/>
    </row>
    <row r="700" spans="3:4" ht="15.75" customHeight="1" x14ac:dyDescent="0.25">
      <c r="C700" s="144"/>
      <c r="D700" s="176"/>
    </row>
    <row r="701" spans="3:4" ht="15.75" customHeight="1" x14ac:dyDescent="0.25">
      <c r="C701" s="144"/>
      <c r="D701" s="176"/>
    </row>
    <row r="702" spans="3:4" ht="15.75" customHeight="1" x14ac:dyDescent="0.25">
      <c r="C702" s="144"/>
      <c r="D702" s="176"/>
    </row>
    <row r="703" spans="3:4" ht="15.75" customHeight="1" x14ac:dyDescent="0.25">
      <c r="C703" s="144"/>
      <c r="D703" s="176"/>
    </row>
    <row r="704" spans="3:4" ht="15.75" customHeight="1" x14ac:dyDescent="0.25">
      <c r="C704" s="144"/>
      <c r="D704" s="176"/>
    </row>
    <row r="705" spans="3:4" ht="15.75" customHeight="1" x14ac:dyDescent="0.25">
      <c r="C705" s="144"/>
      <c r="D705" s="176"/>
    </row>
    <row r="706" spans="3:4" ht="15.75" customHeight="1" x14ac:dyDescent="0.25">
      <c r="C706" s="144"/>
      <c r="D706" s="176"/>
    </row>
    <row r="707" spans="3:4" ht="15.75" customHeight="1" x14ac:dyDescent="0.25">
      <c r="C707" s="144"/>
      <c r="D707" s="176"/>
    </row>
    <row r="708" spans="3:4" ht="15.75" customHeight="1" x14ac:dyDescent="0.25">
      <c r="C708" s="144"/>
      <c r="D708" s="176"/>
    </row>
    <row r="709" spans="3:4" ht="15.75" customHeight="1" x14ac:dyDescent="0.25">
      <c r="C709" s="144"/>
      <c r="D709" s="176"/>
    </row>
    <row r="710" spans="3:4" ht="15.75" customHeight="1" x14ac:dyDescent="0.25">
      <c r="C710" s="144"/>
      <c r="D710" s="176"/>
    </row>
    <row r="711" spans="3:4" ht="15.75" customHeight="1" x14ac:dyDescent="0.25">
      <c r="C711" s="144"/>
      <c r="D711" s="176"/>
    </row>
    <row r="712" spans="3:4" ht="15.75" customHeight="1" x14ac:dyDescent="0.25">
      <c r="C712" s="144"/>
      <c r="D712" s="176"/>
    </row>
    <row r="713" spans="3:4" ht="15.75" customHeight="1" x14ac:dyDescent="0.25">
      <c r="C713" s="144"/>
      <c r="D713" s="176"/>
    </row>
    <row r="714" spans="3:4" ht="15.75" customHeight="1" x14ac:dyDescent="0.25">
      <c r="C714" s="144"/>
      <c r="D714" s="176"/>
    </row>
    <row r="715" spans="3:4" ht="15.75" customHeight="1" x14ac:dyDescent="0.25">
      <c r="C715" s="144"/>
      <c r="D715" s="176"/>
    </row>
    <row r="716" spans="3:4" ht="15.75" customHeight="1" x14ac:dyDescent="0.25">
      <c r="C716" s="144"/>
      <c r="D716" s="176"/>
    </row>
    <row r="717" spans="3:4" ht="15.75" customHeight="1" x14ac:dyDescent="0.25">
      <c r="C717" s="144"/>
      <c r="D717" s="176"/>
    </row>
    <row r="718" spans="3:4" ht="15.75" customHeight="1" x14ac:dyDescent="0.25">
      <c r="C718" s="144"/>
      <c r="D718" s="176"/>
    </row>
    <row r="719" spans="3:4" ht="15.75" customHeight="1" x14ac:dyDescent="0.25">
      <c r="C719" s="144"/>
      <c r="D719" s="176"/>
    </row>
    <row r="720" spans="3:4" ht="15.75" customHeight="1" x14ac:dyDescent="0.25">
      <c r="C720" s="144"/>
      <c r="D720" s="176"/>
    </row>
    <row r="721" spans="3:4" ht="15.75" customHeight="1" x14ac:dyDescent="0.25">
      <c r="C721" s="144"/>
      <c r="D721" s="176"/>
    </row>
    <row r="722" spans="3:4" ht="15.75" customHeight="1" x14ac:dyDescent="0.25">
      <c r="C722" s="144"/>
      <c r="D722" s="176"/>
    </row>
    <row r="723" spans="3:4" ht="15.75" customHeight="1" x14ac:dyDescent="0.25">
      <c r="C723" s="144"/>
      <c r="D723" s="176"/>
    </row>
    <row r="724" spans="3:4" ht="15.75" customHeight="1" x14ac:dyDescent="0.25">
      <c r="C724" s="144"/>
      <c r="D724" s="176"/>
    </row>
    <row r="725" spans="3:4" ht="15.75" customHeight="1" x14ac:dyDescent="0.25">
      <c r="C725" s="144"/>
      <c r="D725" s="176"/>
    </row>
    <row r="726" spans="3:4" ht="15.75" customHeight="1" x14ac:dyDescent="0.25">
      <c r="C726" s="144"/>
      <c r="D726" s="176"/>
    </row>
    <row r="727" spans="3:4" ht="15.75" customHeight="1" x14ac:dyDescent="0.25">
      <c r="C727" s="144"/>
      <c r="D727" s="176"/>
    </row>
    <row r="728" spans="3:4" ht="15.75" customHeight="1" x14ac:dyDescent="0.25">
      <c r="C728" s="144"/>
      <c r="D728" s="176"/>
    </row>
    <row r="729" spans="3:4" ht="15.75" customHeight="1" x14ac:dyDescent="0.25">
      <c r="C729" s="144"/>
      <c r="D729" s="176"/>
    </row>
    <row r="730" spans="3:4" ht="15.75" customHeight="1" x14ac:dyDescent="0.25">
      <c r="C730" s="144"/>
      <c r="D730" s="176"/>
    </row>
    <row r="731" spans="3:4" ht="15.75" customHeight="1" x14ac:dyDescent="0.25">
      <c r="C731" s="144"/>
      <c r="D731" s="176"/>
    </row>
    <row r="732" spans="3:4" ht="15.75" customHeight="1" x14ac:dyDescent="0.25">
      <c r="C732" s="144"/>
      <c r="D732" s="176"/>
    </row>
    <row r="733" spans="3:4" ht="15.75" customHeight="1" x14ac:dyDescent="0.25">
      <c r="C733" s="144"/>
      <c r="D733" s="176"/>
    </row>
    <row r="734" spans="3:4" ht="15.75" customHeight="1" x14ac:dyDescent="0.25">
      <c r="C734" s="144"/>
      <c r="D734" s="176"/>
    </row>
    <row r="735" spans="3:4" ht="15.75" customHeight="1" x14ac:dyDescent="0.25">
      <c r="C735" s="144"/>
      <c r="D735" s="176"/>
    </row>
    <row r="736" spans="3:4" ht="15.75" customHeight="1" x14ac:dyDescent="0.25">
      <c r="C736" s="144"/>
      <c r="D736" s="176"/>
    </row>
    <row r="737" spans="3:4" ht="15.75" customHeight="1" x14ac:dyDescent="0.25">
      <c r="C737" s="144"/>
      <c r="D737" s="176"/>
    </row>
    <row r="738" spans="3:4" ht="15.75" customHeight="1" x14ac:dyDescent="0.25">
      <c r="C738" s="144"/>
      <c r="D738" s="176"/>
    </row>
    <row r="739" spans="3:4" ht="15.75" customHeight="1" x14ac:dyDescent="0.25">
      <c r="C739" s="144"/>
      <c r="D739" s="176"/>
    </row>
    <row r="740" spans="3:4" ht="15.75" customHeight="1" x14ac:dyDescent="0.25">
      <c r="C740" s="144"/>
      <c r="D740" s="176"/>
    </row>
    <row r="741" spans="3:4" ht="15.75" customHeight="1" x14ac:dyDescent="0.25">
      <c r="C741" s="144"/>
      <c r="D741" s="176"/>
    </row>
    <row r="742" spans="3:4" ht="15.75" customHeight="1" x14ac:dyDescent="0.25">
      <c r="C742" s="144"/>
      <c r="D742" s="176"/>
    </row>
    <row r="743" spans="3:4" ht="15.75" customHeight="1" x14ac:dyDescent="0.25">
      <c r="C743" s="144"/>
      <c r="D743" s="176"/>
    </row>
    <row r="744" spans="3:4" ht="15.75" customHeight="1" x14ac:dyDescent="0.25">
      <c r="C744" s="144"/>
      <c r="D744" s="176"/>
    </row>
    <row r="745" spans="3:4" ht="15.75" customHeight="1" x14ac:dyDescent="0.25">
      <c r="C745" s="144"/>
      <c r="D745" s="176"/>
    </row>
    <row r="746" spans="3:4" ht="15.75" customHeight="1" x14ac:dyDescent="0.25">
      <c r="C746" s="144"/>
      <c r="D746" s="176"/>
    </row>
    <row r="747" spans="3:4" ht="15.75" customHeight="1" x14ac:dyDescent="0.25">
      <c r="C747" s="144"/>
      <c r="D747" s="176"/>
    </row>
    <row r="748" spans="3:4" ht="15.75" customHeight="1" x14ac:dyDescent="0.25">
      <c r="C748" s="144"/>
      <c r="D748" s="176"/>
    </row>
    <row r="749" spans="3:4" ht="15.75" customHeight="1" x14ac:dyDescent="0.25">
      <c r="C749" s="144"/>
      <c r="D749" s="176"/>
    </row>
    <row r="750" spans="3:4" ht="15.75" customHeight="1" x14ac:dyDescent="0.25">
      <c r="C750" s="144"/>
      <c r="D750" s="176"/>
    </row>
    <row r="751" spans="3:4" ht="15.75" customHeight="1" x14ac:dyDescent="0.25">
      <c r="C751" s="144"/>
      <c r="D751" s="176"/>
    </row>
    <row r="752" spans="3:4" ht="15.75" customHeight="1" x14ac:dyDescent="0.25">
      <c r="C752" s="144"/>
      <c r="D752" s="176"/>
    </row>
    <row r="753" spans="3:4" ht="15.75" customHeight="1" x14ac:dyDescent="0.25">
      <c r="C753" s="144"/>
      <c r="D753" s="176"/>
    </row>
    <row r="754" spans="3:4" ht="15.75" customHeight="1" x14ac:dyDescent="0.25">
      <c r="C754" s="144"/>
      <c r="D754" s="176"/>
    </row>
    <row r="755" spans="3:4" ht="15.75" customHeight="1" x14ac:dyDescent="0.25">
      <c r="C755" s="144"/>
      <c r="D755" s="176"/>
    </row>
    <row r="756" spans="3:4" ht="15.75" customHeight="1" x14ac:dyDescent="0.25">
      <c r="C756" s="144"/>
      <c r="D756" s="176"/>
    </row>
    <row r="757" spans="3:4" ht="15.75" customHeight="1" x14ac:dyDescent="0.25">
      <c r="C757" s="144"/>
      <c r="D757" s="176"/>
    </row>
    <row r="758" spans="3:4" ht="15.75" customHeight="1" x14ac:dyDescent="0.25">
      <c r="C758" s="144"/>
      <c r="D758" s="176"/>
    </row>
    <row r="759" spans="3:4" ht="15.75" customHeight="1" x14ac:dyDescent="0.25">
      <c r="C759" s="144"/>
      <c r="D759" s="176"/>
    </row>
    <row r="760" spans="3:4" ht="15.75" customHeight="1" x14ac:dyDescent="0.25">
      <c r="C760" s="144"/>
      <c r="D760" s="176"/>
    </row>
    <row r="761" spans="3:4" ht="15.75" customHeight="1" x14ac:dyDescent="0.25">
      <c r="C761" s="144"/>
      <c r="D761" s="176"/>
    </row>
    <row r="762" spans="3:4" ht="15.75" customHeight="1" x14ac:dyDescent="0.25">
      <c r="C762" s="144"/>
      <c r="D762" s="176"/>
    </row>
    <row r="763" spans="3:4" ht="15.75" customHeight="1" x14ac:dyDescent="0.25">
      <c r="C763" s="144"/>
      <c r="D763" s="176"/>
    </row>
    <row r="764" spans="3:4" ht="15.75" customHeight="1" x14ac:dyDescent="0.25">
      <c r="C764" s="144"/>
      <c r="D764" s="176"/>
    </row>
    <row r="765" spans="3:4" ht="15.75" customHeight="1" x14ac:dyDescent="0.25">
      <c r="C765" s="144"/>
      <c r="D765" s="176"/>
    </row>
    <row r="766" spans="3:4" ht="15.75" customHeight="1" x14ac:dyDescent="0.25">
      <c r="C766" s="144"/>
      <c r="D766" s="176"/>
    </row>
    <row r="767" spans="3:4" ht="15.75" customHeight="1" x14ac:dyDescent="0.25">
      <c r="C767" s="144"/>
      <c r="D767" s="176"/>
    </row>
    <row r="768" spans="3:4" ht="15.75" customHeight="1" x14ac:dyDescent="0.25">
      <c r="C768" s="144"/>
      <c r="D768" s="176"/>
    </row>
    <row r="769" spans="3:4" ht="15.75" customHeight="1" x14ac:dyDescent="0.25">
      <c r="C769" s="144"/>
      <c r="D769" s="176"/>
    </row>
    <row r="770" spans="3:4" ht="15.75" customHeight="1" x14ac:dyDescent="0.25">
      <c r="C770" s="144"/>
      <c r="D770" s="176"/>
    </row>
    <row r="771" spans="3:4" ht="15.75" customHeight="1" x14ac:dyDescent="0.25">
      <c r="C771" s="144"/>
      <c r="D771" s="176"/>
    </row>
    <row r="772" spans="3:4" ht="15.75" customHeight="1" x14ac:dyDescent="0.25">
      <c r="C772" s="144"/>
      <c r="D772" s="176"/>
    </row>
    <row r="773" spans="3:4" ht="15.75" customHeight="1" x14ac:dyDescent="0.25">
      <c r="C773" s="144"/>
      <c r="D773" s="176"/>
    </row>
    <row r="774" spans="3:4" ht="15.75" customHeight="1" x14ac:dyDescent="0.25">
      <c r="C774" s="144"/>
      <c r="D774" s="176"/>
    </row>
    <row r="775" spans="3:4" ht="15.75" customHeight="1" x14ac:dyDescent="0.25">
      <c r="C775" s="144"/>
      <c r="D775" s="176"/>
    </row>
    <row r="776" spans="3:4" ht="15.75" customHeight="1" x14ac:dyDescent="0.25">
      <c r="C776" s="144"/>
      <c r="D776" s="176"/>
    </row>
    <row r="777" spans="3:4" ht="15.75" customHeight="1" x14ac:dyDescent="0.25">
      <c r="C777" s="144"/>
      <c r="D777" s="176"/>
    </row>
    <row r="778" spans="3:4" ht="15.75" customHeight="1" x14ac:dyDescent="0.25">
      <c r="C778" s="144"/>
      <c r="D778" s="176"/>
    </row>
    <row r="779" spans="3:4" ht="15.75" customHeight="1" x14ac:dyDescent="0.25">
      <c r="C779" s="144"/>
      <c r="D779" s="176"/>
    </row>
    <row r="780" spans="3:4" ht="15.75" customHeight="1" x14ac:dyDescent="0.25">
      <c r="C780" s="144"/>
      <c r="D780" s="176"/>
    </row>
    <row r="781" spans="3:4" ht="15.75" customHeight="1" x14ac:dyDescent="0.25">
      <c r="C781" s="144"/>
      <c r="D781" s="176"/>
    </row>
    <row r="782" spans="3:4" ht="15.75" customHeight="1" x14ac:dyDescent="0.25">
      <c r="C782" s="144"/>
      <c r="D782" s="176"/>
    </row>
    <row r="783" spans="3:4" ht="15.75" customHeight="1" x14ac:dyDescent="0.25">
      <c r="C783" s="144"/>
      <c r="D783" s="176"/>
    </row>
    <row r="784" spans="3:4" ht="15.75" customHeight="1" x14ac:dyDescent="0.25">
      <c r="C784" s="144"/>
      <c r="D784" s="176"/>
    </row>
    <row r="785" spans="3:4" ht="15.75" customHeight="1" x14ac:dyDescent="0.25">
      <c r="C785" s="144"/>
      <c r="D785" s="176"/>
    </row>
    <row r="786" spans="3:4" ht="15.75" customHeight="1" x14ac:dyDescent="0.25">
      <c r="C786" s="144"/>
      <c r="D786" s="176"/>
    </row>
    <row r="787" spans="3:4" ht="15.75" customHeight="1" x14ac:dyDescent="0.25">
      <c r="C787" s="144"/>
      <c r="D787" s="176"/>
    </row>
    <row r="788" spans="3:4" ht="15.75" customHeight="1" x14ac:dyDescent="0.25">
      <c r="C788" s="144"/>
      <c r="D788" s="176"/>
    </row>
    <row r="789" spans="3:4" ht="15.75" customHeight="1" x14ac:dyDescent="0.25">
      <c r="C789" s="144"/>
      <c r="D789" s="176"/>
    </row>
    <row r="790" spans="3:4" ht="15.75" customHeight="1" x14ac:dyDescent="0.25">
      <c r="C790" s="144"/>
      <c r="D790" s="176"/>
    </row>
    <row r="791" spans="3:4" ht="15.75" customHeight="1" x14ac:dyDescent="0.25">
      <c r="C791" s="144"/>
      <c r="D791" s="176"/>
    </row>
    <row r="792" spans="3:4" ht="15.75" customHeight="1" x14ac:dyDescent="0.25">
      <c r="C792" s="144"/>
      <c r="D792" s="176"/>
    </row>
    <row r="793" spans="3:4" ht="15.75" customHeight="1" x14ac:dyDescent="0.25">
      <c r="C793" s="144"/>
      <c r="D793" s="176"/>
    </row>
    <row r="794" spans="3:4" ht="15.75" customHeight="1" x14ac:dyDescent="0.25">
      <c r="C794" s="144"/>
      <c r="D794" s="176"/>
    </row>
    <row r="795" spans="3:4" ht="15.75" customHeight="1" x14ac:dyDescent="0.25">
      <c r="C795" s="144"/>
      <c r="D795" s="176"/>
    </row>
    <row r="796" spans="3:4" ht="15.75" customHeight="1" x14ac:dyDescent="0.25">
      <c r="C796" s="144"/>
      <c r="D796" s="176"/>
    </row>
    <row r="797" spans="3:4" ht="15.75" customHeight="1" x14ac:dyDescent="0.25">
      <c r="C797" s="144"/>
      <c r="D797" s="176"/>
    </row>
    <row r="798" spans="3:4" ht="15.75" customHeight="1" x14ac:dyDescent="0.25">
      <c r="C798" s="144"/>
      <c r="D798" s="176"/>
    </row>
    <row r="799" spans="3:4" ht="15.75" customHeight="1" x14ac:dyDescent="0.25">
      <c r="C799" s="144"/>
      <c r="D799" s="176"/>
    </row>
    <row r="800" spans="3:4" ht="15.75" customHeight="1" x14ac:dyDescent="0.25">
      <c r="C800" s="144"/>
      <c r="D800" s="176"/>
    </row>
    <row r="801" spans="3:4" ht="15.75" customHeight="1" x14ac:dyDescent="0.25">
      <c r="C801" s="144"/>
      <c r="D801" s="176"/>
    </row>
    <row r="802" spans="3:4" ht="15.75" customHeight="1" x14ac:dyDescent="0.25">
      <c r="C802" s="144"/>
      <c r="D802" s="176"/>
    </row>
    <row r="803" spans="3:4" ht="15.75" customHeight="1" x14ac:dyDescent="0.25">
      <c r="C803" s="144"/>
      <c r="D803" s="176"/>
    </row>
    <row r="804" spans="3:4" ht="15.75" customHeight="1" x14ac:dyDescent="0.25">
      <c r="C804" s="144"/>
      <c r="D804" s="176"/>
    </row>
    <row r="805" spans="3:4" ht="15.75" customHeight="1" x14ac:dyDescent="0.25">
      <c r="C805" s="144"/>
      <c r="D805" s="176"/>
    </row>
    <row r="806" spans="3:4" ht="15.75" customHeight="1" x14ac:dyDescent="0.25">
      <c r="C806" s="144"/>
      <c r="D806" s="176"/>
    </row>
    <row r="807" spans="3:4" ht="15.75" customHeight="1" x14ac:dyDescent="0.25">
      <c r="C807" s="144"/>
      <c r="D807" s="176"/>
    </row>
    <row r="808" spans="3:4" ht="15.75" customHeight="1" x14ac:dyDescent="0.25">
      <c r="C808" s="144"/>
      <c r="D808" s="176"/>
    </row>
    <row r="809" spans="3:4" ht="15.75" customHeight="1" x14ac:dyDescent="0.25">
      <c r="C809" s="144"/>
      <c r="D809" s="176"/>
    </row>
    <row r="810" spans="3:4" ht="15.75" customHeight="1" x14ac:dyDescent="0.25">
      <c r="C810" s="144"/>
      <c r="D810" s="176"/>
    </row>
    <row r="811" spans="3:4" ht="15.75" customHeight="1" x14ac:dyDescent="0.25">
      <c r="C811" s="144"/>
      <c r="D811" s="176"/>
    </row>
    <row r="812" spans="3:4" ht="15.75" customHeight="1" x14ac:dyDescent="0.25">
      <c r="C812" s="144"/>
      <c r="D812" s="176"/>
    </row>
    <row r="813" spans="3:4" ht="15.75" customHeight="1" x14ac:dyDescent="0.25">
      <c r="C813" s="144"/>
      <c r="D813" s="176"/>
    </row>
    <row r="814" spans="3:4" ht="15.75" customHeight="1" x14ac:dyDescent="0.25">
      <c r="C814" s="144"/>
      <c r="D814" s="176"/>
    </row>
    <row r="815" spans="3:4" ht="15.75" customHeight="1" x14ac:dyDescent="0.25">
      <c r="C815" s="144"/>
      <c r="D815" s="176"/>
    </row>
    <row r="816" spans="3:4" ht="15.75" customHeight="1" x14ac:dyDescent="0.25">
      <c r="C816" s="144"/>
      <c r="D816" s="176"/>
    </row>
    <row r="817" spans="3:4" ht="15.75" customHeight="1" x14ac:dyDescent="0.25">
      <c r="C817" s="144"/>
      <c r="D817" s="176"/>
    </row>
    <row r="818" spans="3:4" ht="15.75" customHeight="1" x14ac:dyDescent="0.25">
      <c r="C818" s="144"/>
      <c r="D818" s="176"/>
    </row>
    <row r="819" spans="3:4" ht="15.75" customHeight="1" x14ac:dyDescent="0.25">
      <c r="C819" s="144"/>
      <c r="D819" s="176"/>
    </row>
    <row r="820" spans="3:4" ht="15.75" customHeight="1" x14ac:dyDescent="0.25">
      <c r="C820" s="144"/>
      <c r="D820" s="176"/>
    </row>
    <row r="821" spans="3:4" ht="15.75" customHeight="1" x14ac:dyDescent="0.25">
      <c r="C821" s="144"/>
      <c r="D821" s="176"/>
    </row>
    <row r="822" spans="3:4" ht="15.75" customHeight="1" x14ac:dyDescent="0.25">
      <c r="C822" s="144"/>
      <c r="D822" s="176"/>
    </row>
    <row r="823" spans="3:4" ht="15.75" customHeight="1" x14ac:dyDescent="0.25">
      <c r="C823" s="144"/>
      <c r="D823" s="176"/>
    </row>
    <row r="824" spans="3:4" ht="15.75" customHeight="1" x14ac:dyDescent="0.25">
      <c r="C824" s="144"/>
      <c r="D824" s="176"/>
    </row>
    <row r="825" spans="3:4" ht="15.75" customHeight="1" x14ac:dyDescent="0.25">
      <c r="C825" s="144"/>
      <c r="D825" s="176"/>
    </row>
    <row r="826" spans="3:4" ht="15.75" customHeight="1" x14ac:dyDescent="0.25">
      <c r="C826" s="144"/>
      <c r="D826" s="176"/>
    </row>
    <row r="827" spans="3:4" ht="15.75" customHeight="1" x14ac:dyDescent="0.25">
      <c r="C827" s="144"/>
      <c r="D827" s="176"/>
    </row>
    <row r="828" spans="3:4" ht="15.75" customHeight="1" x14ac:dyDescent="0.25">
      <c r="C828" s="144"/>
      <c r="D828" s="176"/>
    </row>
    <row r="829" spans="3:4" ht="15.75" customHeight="1" x14ac:dyDescent="0.25">
      <c r="C829" s="144"/>
      <c r="D829" s="176"/>
    </row>
    <row r="830" spans="3:4" ht="15.75" customHeight="1" x14ac:dyDescent="0.25">
      <c r="C830" s="144"/>
      <c r="D830" s="176"/>
    </row>
    <row r="831" spans="3:4" ht="15.75" customHeight="1" x14ac:dyDescent="0.25">
      <c r="C831" s="144"/>
      <c r="D831" s="176"/>
    </row>
    <row r="832" spans="3:4" ht="15.75" customHeight="1" x14ac:dyDescent="0.25">
      <c r="C832" s="144"/>
      <c r="D832" s="176"/>
    </row>
    <row r="833" spans="3:4" ht="15.75" customHeight="1" x14ac:dyDescent="0.25">
      <c r="C833" s="144"/>
      <c r="D833" s="176"/>
    </row>
    <row r="834" spans="3:4" ht="15.75" customHeight="1" x14ac:dyDescent="0.25">
      <c r="C834" s="144"/>
      <c r="D834" s="176"/>
    </row>
    <row r="835" spans="3:4" ht="15.75" customHeight="1" x14ac:dyDescent="0.25">
      <c r="C835" s="144"/>
      <c r="D835" s="176"/>
    </row>
    <row r="836" spans="3:4" ht="15.75" customHeight="1" x14ac:dyDescent="0.25">
      <c r="C836" s="144"/>
      <c r="D836" s="176"/>
    </row>
    <row r="837" spans="3:4" ht="15.75" customHeight="1" x14ac:dyDescent="0.25">
      <c r="C837" s="144"/>
      <c r="D837" s="176"/>
    </row>
    <row r="838" spans="3:4" ht="15.75" customHeight="1" x14ac:dyDescent="0.25">
      <c r="C838" s="144"/>
      <c r="D838" s="176"/>
    </row>
    <row r="839" spans="3:4" ht="15.75" customHeight="1" x14ac:dyDescent="0.25">
      <c r="C839" s="144"/>
      <c r="D839" s="176"/>
    </row>
    <row r="840" spans="3:4" ht="15.75" customHeight="1" x14ac:dyDescent="0.25">
      <c r="C840" s="144"/>
      <c r="D840" s="176"/>
    </row>
    <row r="841" spans="3:4" ht="15.75" customHeight="1" x14ac:dyDescent="0.25">
      <c r="C841" s="144"/>
      <c r="D841" s="176"/>
    </row>
    <row r="842" spans="3:4" ht="15.75" customHeight="1" x14ac:dyDescent="0.25">
      <c r="C842" s="144"/>
      <c r="D842" s="176"/>
    </row>
    <row r="843" spans="3:4" ht="15.75" customHeight="1" x14ac:dyDescent="0.25">
      <c r="C843" s="144"/>
      <c r="D843" s="176"/>
    </row>
    <row r="844" spans="3:4" ht="15.75" customHeight="1" x14ac:dyDescent="0.25">
      <c r="C844" s="144"/>
      <c r="D844" s="176"/>
    </row>
    <row r="845" spans="3:4" ht="15.75" customHeight="1" x14ac:dyDescent="0.25">
      <c r="C845" s="144"/>
      <c r="D845" s="176"/>
    </row>
    <row r="846" spans="3:4" ht="15.75" customHeight="1" x14ac:dyDescent="0.25">
      <c r="C846" s="144"/>
      <c r="D846" s="176"/>
    </row>
    <row r="847" spans="3:4" ht="15.75" customHeight="1" x14ac:dyDescent="0.25">
      <c r="C847" s="144"/>
      <c r="D847" s="176"/>
    </row>
    <row r="848" spans="3:4" ht="15.75" customHeight="1" x14ac:dyDescent="0.25">
      <c r="C848" s="144"/>
      <c r="D848" s="176"/>
    </row>
    <row r="849" spans="3:4" ht="15.75" customHeight="1" x14ac:dyDescent="0.25">
      <c r="C849" s="144"/>
      <c r="D849" s="176"/>
    </row>
    <row r="850" spans="3:4" ht="15.75" customHeight="1" x14ac:dyDescent="0.25">
      <c r="C850" s="144"/>
      <c r="D850" s="176"/>
    </row>
    <row r="851" spans="3:4" ht="15.75" customHeight="1" x14ac:dyDescent="0.25">
      <c r="C851" s="144"/>
      <c r="D851" s="176"/>
    </row>
    <row r="852" spans="3:4" ht="15.75" customHeight="1" x14ac:dyDescent="0.25">
      <c r="C852" s="144"/>
      <c r="D852" s="176"/>
    </row>
    <row r="853" spans="3:4" ht="15.75" customHeight="1" x14ac:dyDescent="0.25">
      <c r="C853" s="144"/>
      <c r="D853" s="176"/>
    </row>
    <row r="854" spans="3:4" ht="15.75" customHeight="1" x14ac:dyDescent="0.25">
      <c r="C854" s="144"/>
      <c r="D854" s="176"/>
    </row>
    <row r="855" spans="3:4" ht="15.75" customHeight="1" x14ac:dyDescent="0.25">
      <c r="C855" s="144"/>
      <c r="D855" s="176"/>
    </row>
    <row r="856" spans="3:4" ht="15.75" customHeight="1" x14ac:dyDescent="0.25">
      <c r="C856" s="144"/>
      <c r="D856" s="176"/>
    </row>
    <row r="857" spans="3:4" ht="15.75" customHeight="1" x14ac:dyDescent="0.25">
      <c r="C857" s="144"/>
      <c r="D857" s="176"/>
    </row>
    <row r="858" spans="3:4" ht="15.75" customHeight="1" x14ac:dyDescent="0.25">
      <c r="C858" s="144"/>
      <c r="D858" s="176"/>
    </row>
    <row r="859" spans="3:4" ht="15.75" customHeight="1" x14ac:dyDescent="0.25">
      <c r="C859" s="144"/>
      <c r="D859" s="176"/>
    </row>
    <row r="860" spans="3:4" ht="15.75" customHeight="1" x14ac:dyDescent="0.25">
      <c r="C860" s="144"/>
      <c r="D860" s="176"/>
    </row>
    <row r="861" spans="3:4" ht="15.75" customHeight="1" x14ac:dyDescent="0.25">
      <c r="C861" s="144"/>
      <c r="D861" s="176"/>
    </row>
    <row r="862" spans="3:4" ht="15.75" customHeight="1" x14ac:dyDescent="0.25">
      <c r="C862" s="144"/>
      <c r="D862" s="176"/>
    </row>
    <row r="863" spans="3:4" ht="15.75" customHeight="1" x14ac:dyDescent="0.25">
      <c r="C863" s="144"/>
      <c r="D863" s="176"/>
    </row>
    <row r="864" spans="3:4" ht="15.75" customHeight="1" x14ac:dyDescent="0.25">
      <c r="C864" s="144"/>
      <c r="D864" s="176"/>
    </row>
    <row r="865" spans="3:4" ht="15.75" customHeight="1" x14ac:dyDescent="0.25">
      <c r="C865" s="144"/>
      <c r="D865" s="176"/>
    </row>
    <row r="866" spans="3:4" ht="15.75" customHeight="1" x14ac:dyDescent="0.25">
      <c r="C866" s="144"/>
      <c r="D866" s="176"/>
    </row>
    <row r="867" spans="3:4" ht="15.75" customHeight="1" x14ac:dyDescent="0.25">
      <c r="C867" s="144"/>
      <c r="D867" s="176"/>
    </row>
    <row r="868" spans="3:4" ht="15.75" customHeight="1" x14ac:dyDescent="0.25">
      <c r="C868" s="144"/>
      <c r="D868" s="176"/>
    </row>
    <row r="869" spans="3:4" ht="15.75" customHeight="1" x14ac:dyDescent="0.25">
      <c r="C869" s="144"/>
      <c r="D869" s="176"/>
    </row>
    <row r="870" spans="3:4" ht="15.75" customHeight="1" x14ac:dyDescent="0.25">
      <c r="C870" s="144"/>
      <c r="D870" s="176"/>
    </row>
    <row r="871" spans="3:4" ht="15.75" customHeight="1" x14ac:dyDescent="0.25">
      <c r="C871" s="144"/>
      <c r="D871" s="176"/>
    </row>
    <row r="872" spans="3:4" ht="15.75" customHeight="1" x14ac:dyDescent="0.25">
      <c r="C872" s="144"/>
      <c r="D872" s="176"/>
    </row>
    <row r="873" spans="3:4" ht="15.75" customHeight="1" x14ac:dyDescent="0.25">
      <c r="C873" s="144"/>
      <c r="D873" s="176"/>
    </row>
    <row r="874" spans="3:4" ht="15.75" customHeight="1" x14ac:dyDescent="0.25">
      <c r="C874" s="144"/>
      <c r="D874" s="176"/>
    </row>
    <row r="875" spans="3:4" ht="15.75" customHeight="1" x14ac:dyDescent="0.25">
      <c r="C875" s="144"/>
      <c r="D875" s="176"/>
    </row>
    <row r="876" spans="3:4" ht="15.75" customHeight="1" x14ac:dyDescent="0.25">
      <c r="C876" s="144"/>
      <c r="D876" s="176"/>
    </row>
    <row r="877" spans="3:4" ht="15.75" customHeight="1" x14ac:dyDescent="0.25">
      <c r="C877" s="144"/>
      <c r="D877" s="176"/>
    </row>
    <row r="878" spans="3:4" ht="15.75" customHeight="1" x14ac:dyDescent="0.25">
      <c r="C878" s="144"/>
      <c r="D878" s="176"/>
    </row>
    <row r="879" spans="3:4" ht="15.75" customHeight="1" x14ac:dyDescent="0.25">
      <c r="C879" s="144"/>
      <c r="D879" s="176"/>
    </row>
    <row r="880" spans="3:4" ht="15.75" customHeight="1" x14ac:dyDescent="0.25">
      <c r="C880" s="144"/>
      <c r="D880" s="176"/>
    </row>
    <row r="881" spans="3:4" ht="15.75" customHeight="1" x14ac:dyDescent="0.25">
      <c r="C881" s="144"/>
      <c r="D881" s="176"/>
    </row>
    <row r="882" spans="3:4" ht="15.75" customHeight="1" x14ac:dyDescent="0.25">
      <c r="C882" s="144"/>
      <c r="D882" s="176"/>
    </row>
    <row r="883" spans="3:4" ht="15.75" customHeight="1" x14ac:dyDescent="0.25">
      <c r="C883" s="144"/>
      <c r="D883" s="176"/>
    </row>
    <row r="884" spans="3:4" ht="15.75" customHeight="1" x14ac:dyDescent="0.25">
      <c r="C884" s="144"/>
      <c r="D884" s="176"/>
    </row>
    <row r="885" spans="3:4" ht="15.75" customHeight="1" x14ac:dyDescent="0.25">
      <c r="C885" s="144"/>
      <c r="D885" s="176"/>
    </row>
    <row r="886" spans="3:4" ht="15.75" customHeight="1" x14ac:dyDescent="0.25">
      <c r="C886" s="144"/>
      <c r="D886" s="176"/>
    </row>
    <row r="887" spans="3:4" ht="15.75" customHeight="1" x14ac:dyDescent="0.25">
      <c r="C887" s="144"/>
      <c r="D887" s="176"/>
    </row>
    <row r="888" spans="3:4" ht="15.75" customHeight="1" x14ac:dyDescent="0.25">
      <c r="C888" s="144"/>
      <c r="D888" s="176"/>
    </row>
    <row r="889" spans="3:4" ht="15.75" customHeight="1" x14ac:dyDescent="0.25">
      <c r="C889" s="144"/>
      <c r="D889" s="176"/>
    </row>
    <row r="890" spans="3:4" ht="15.75" customHeight="1" x14ac:dyDescent="0.25">
      <c r="C890" s="144"/>
      <c r="D890" s="176"/>
    </row>
    <row r="891" spans="3:4" ht="15.75" customHeight="1" x14ac:dyDescent="0.25">
      <c r="C891" s="144"/>
      <c r="D891" s="176"/>
    </row>
    <row r="892" spans="3:4" ht="15.75" customHeight="1" x14ac:dyDescent="0.25">
      <c r="C892" s="144"/>
      <c r="D892" s="176"/>
    </row>
    <row r="893" spans="3:4" ht="15.75" customHeight="1" x14ac:dyDescent="0.25">
      <c r="C893" s="144"/>
      <c r="D893" s="176"/>
    </row>
    <row r="894" spans="3:4" ht="15.75" customHeight="1" x14ac:dyDescent="0.25">
      <c r="C894" s="144"/>
      <c r="D894" s="176"/>
    </row>
    <row r="895" spans="3:4" ht="15.75" customHeight="1" x14ac:dyDescent="0.25">
      <c r="C895" s="144"/>
      <c r="D895" s="176"/>
    </row>
    <row r="896" spans="3:4" ht="15.75" customHeight="1" x14ac:dyDescent="0.25">
      <c r="C896" s="144"/>
      <c r="D896" s="176"/>
    </row>
    <row r="897" spans="3:4" ht="15.75" customHeight="1" x14ac:dyDescent="0.25">
      <c r="C897" s="144"/>
      <c r="D897" s="176"/>
    </row>
    <row r="898" spans="3:4" ht="15.75" customHeight="1" x14ac:dyDescent="0.25">
      <c r="C898" s="144"/>
      <c r="D898" s="176"/>
    </row>
    <row r="899" spans="3:4" ht="15.75" customHeight="1" x14ac:dyDescent="0.25">
      <c r="C899" s="144"/>
      <c r="D899" s="176"/>
    </row>
    <row r="900" spans="3:4" ht="15.75" customHeight="1" x14ac:dyDescent="0.25">
      <c r="C900" s="144"/>
      <c r="D900" s="176"/>
    </row>
    <row r="901" spans="3:4" ht="15.75" customHeight="1" x14ac:dyDescent="0.25">
      <c r="C901" s="144"/>
      <c r="D901" s="176"/>
    </row>
    <row r="902" spans="3:4" ht="15.75" customHeight="1" x14ac:dyDescent="0.25">
      <c r="C902" s="144"/>
      <c r="D902" s="176"/>
    </row>
    <row r="903" spans="3:4" ht="15.75" customHeight="1" x14ac:dyDescent="0.25">
      <c r="C903" s="144"/>
      <c r="D903" s="176"/>
    </row>
    <row r="904" spans="3:4" ht="15.75" customHeight="1" x14ac:dyDescent="0.25">
      <c r="C904" s="144"/>
      <c r="D904" s="176"/>
    </row>
    <row r="905" spans="3:4" ht="15.75" customHeight="1" x14ac:dyDescent="0.25">
      <c r="C905" s="144"/>
      <c r="D905" s="176"/>
    </row>
    <row r="906" spans="3:4" ht="15.75" customHeight="1" x14ac:dyDescent="0.25">
      <c r="C906" s="144"/>
      <c r="D906" s="176"/>
    </row>
    <row r="907" spans="3:4" ht="15.75" customHeight="1" x14ac:dyDescent="0.25">
      <c r="C907" s="144"/>
      <c r="D907" s="176"/>
    </row>
    <row r="908" spans="3:4" ht="15.75" customHeight="1" x14ac:dyDescent="0.25">
      <c r="C908" s="144"/>
      <c r="D908" s="176"/>
    </row>
    <row r="909" spans="3:4" ht="15.75" customHeight="1" x14ac:dyDescent="0.25">
      <c r="C909" s="144"/>
      <c r="D909" s="176"/>
    </row>
    <row r="910" spans="3:4" ht="15.75" customHeight="1" x14ac:dyDescent="0.25">
      <c r="C910" s="144"/>
      <c r="D910" s="176"/>
    </row>
    <row r="911" spans="3:4" ht="15.75" customHeight="1" x14ac:dyDescent="0.25">
      <c r="C911" s="144"/>
      <c r="D911" s="176"/>
    </row>
    <row r="912" spans="3:4" ht="15.75" customHeight="1" x14ac:dyDescent="0.25">
      <c r="C912" s="144"/>
      <c r="D912" s="176"/>
    </row>
    <row r="913" spans="3:4" ht="15.75" customHeight="1" x14ac:dyDescent="0.25">
      <c r="C913" s="144"/>
      <c r="D913" s="176"/>
    </row>
    <row r="914" spans="3:4" ht="15.75" customHeight="1" x14ac:dyDescent="0.25">
      <c r="C914" s="144"/>
      <c r="D914" s="176"/>
    </row>
    <row r="915" spans="3:4" ht="15.75" customHeight="1" x14ac:dyDescent="0.25">
      <c r="C915" s="144"/>
      <c r="D915" s="176"/>
    </row>
    <row r="916" spans="3:4" ht="15.75" customHeight="1" x14ac:dyDescent="0.25">
      <c r="C916" s="144"/>
      <c r="D916" s="176"/>
    </row>
    <row r="917" spans="3:4" ht="15.75" customHeight="1" x14ac:dyDescent="0.25">
      <c r="C917" s="144"/>
      <c r="D917" s="176"/>
    </row>
    <row r="918" spans="3:4" ht="15.75" customHeight="1" x14ac:dyDescent="0.25">
      <c r="C918" s="144"/>
      <c r="D918" s="176"/>
    </row>
    <row r="919" spans="3:4" ht="15.75" customHeight="1" x14ac:dyDescent="0.25">
      <c r="C919" s="144"/>
      <c r="D919" s="176"/>
    </row>
    <row r="920" spans="3:4" ht="15.75" customHeight="1" x14ac:dyDescent="0.25">
      <c r="C920" s="144"/>
      <c r="D920" s="176"/>
    </row>
    <row r="921" spans="3:4" ht="15.75" customHeight="1" x14ac:dyDescent="0.25">
      <c r="C921" s="144"/>
      <c r="D921" s="176"/>
    </row>
    <row r="922" spans="3:4" ht="15.75" customHeight="1" x14ac:dyDescent="0.25">
      <c r="C922" s="144"/>
      <c r="D922" s="176"/>
    </row>
    <row r="923" spans="3:4" ht="15.75" customHeight="1" x14ac:dyDescent="0.25">
      <c r="C923" s="144"/>
      <c r="D923" s="176"/>
    </row>
    <row r="924" spans="3:4" ht="15.75" customHeight="1" x14ac:dyDescent="0.25">
      <c r="C924" s="144"/>
      <c r="D924" s="176"/>
    </row>
    <row r="925" spans="3:4" ht="15.75" customHeight="1" x14ac:dyDescent="0.25">
      <c r="C925" s="144"/>
      <c r="D925" s="176"/>
    </row>
    <row r="926" spans="3:4" ht="15.75" customHeight="1" x14ac:dyDescent="0.25">
      <c r="C926" s="144"/>
      <c r="D926" s="176"/>
    </row>
    <row r="927" spans="3:4" ht="15.75" customHeight="1" x14ac:dyDescent="0.25">
      <c r="C927" s="144"/>
      <c r="D927" s="176"/>
    </row>
    <row r="928" spans="3:4" ht="15.75" customHeight="1" x14ac:dyDescent="0.25">
      <c r="C928" s="144"/>
      <c r="D928" s="176"/>
    </row>
    <row r="929" spans="3:4" ht="15.75" customHeight="1" x14ac:dyDescent="0.25">
      <c r="C929" s="144"/>
      <c r="D929" s="176"/>
    </row>
    <row r="930" spans="3:4" ht="15.75" customHeight="1" x14ac:dyDescent="0.25">
      <c r="C930" s="144"/>
      <c r="D930" s="176"/>
    </row>
    <row r="931" spans="3:4" ht="15.75" customHeight="1" x14ac:dyDescent="0.25">
      <c r="C931" s="144"/>
      <c r="D931" s="176"/>
    </row>
    <row r="932" spans="3:4" ht="15.75" customHeight="1" x14ac:dyDescent="0.25">
      <c r="C932" s="144"/>
      <c r="D932" s="176"/>
    </row>
    <row r="933" spans="3:4" ht="15.75" customHeight="1" x14ac:dyDescent="0.25">
      <c r="C933" s="144"/>
      <c r="D933" s="176"/>
    </row>
    <row r="934" spans="3:4" ht="15.75" customHeight="1" x14ac:dyDescent="0.25">
      <c r="C934" s="144"/>
      <c r="D934" s="176"/>
    </row>
    <row r="935" spans="3:4" ht="15.75" customHeight="1" x14ac:dyDescent="0.25">
      <c r="C935" s="144"/>
      <c r="D935" s="176"/>
    </row>
    <row r="936" spans="3:4" ht="15.75" customHeight="1" x14ac:dyDescent="0.25">
      <c r="C936" s="144"/>
      <c r="D936" s="176"/>
    </row>
    <row r="937" spans="3:4" ht="15.75" customHeight="1" x14ac:dyDescent="0.25">
      <c r="C937" s="144"/>
      <c r="D937" s="176"/>
    </row>
    <row r="938" spans="3:4" ht="15.75" customHeight="1" x14ac:dyDescent="0.25">
      <c r="C938" s="144"/>
      <c r="D938" s="176"/>
    </row>
    <row r="939" spans="3:4" ht="15.75" customHeight="1" x14ac:dyDescent="0.25">
      <c r="C939" s="144"/>
      <c r="D939" s="176"/>
    </row>
    <row r="940" spans="3:4" ht="15.75" customHeight="1" x14ac:dyDescent="0.25">
      <c r="C940" s="144"/>
      <c r="D940" s="176"/>
    </row>
    <row r="941" spans="3:4" ht="15.75" customHeight="1" x14ac:dyDescent="0.25">
      <c r="C941" s="144"/>
      <c r="D941" s="176"/>
    </row>
    <row r="942" spans="3:4" ht="15.75" customHeight="1" x14ac:dyDescent="0.25">
      <c r="C942" s="144"/>
      <c r="D942" s="176"/>
    </row>
    <row r="943" spans="3:4" ht="15.75" customHeight="1" x14ac:dyDescent="0.25">
      <c r="C943" s="144"/>
      <c r="D943" s="176"/>
    </row>
    <row r="944" spans="3:4" ht="15.75" customHeight="1" x14ac:dyDescent="0.25">
      <c r="C944" s="144"/>
      <c r="D944" s="176"/>
    </row>
    <row r="945" spans="3:4" ht="15.75" customHeight="1" x14ac:dyDescent="0.25">
      <c r="C945" s="144"/>
      <c r="D945" s="176"/>
    </row>
    <row r="946" spans="3:4" ht="15.75" customHeight="1" x14ac:dyDescent="0.25">
      <c r="C946" s="144"/>
      <c r="D946" s="176"/>
    </row>
    <row r="947" spans="3:4" ht="15.75" customHeight="1" x14ac:dyDescent="0.25">
      <c r="C947" s="144"/>
      <c r="D947" s="176"/>
    </row>
    <row r="948" spans="3:4" ht="15.75" customHeight="1" x14ac:dyDescent="0.25">
      <c r="C948" s="144"/>
      <c r="D948" s="176"/>
    </row>
  </sheetData>
  <autoFilter ref="A1:G4" xr:uid="{F00DD240-926B-4AB3-80B2-22E83605E903}"/>
  <sortState xmlns:xlrd2="http://schemas.microsoft.com/office/spreadsheetml/2017/richdata2" ref="A2:G4">
    <sortCondition ref="A2:A4"/>
    <sortCondition ref="B2:B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1F001-6E37-4692-BB3F-0E344B8B8659}">
  <sheetPr codeName="Sheet5"/>
  <dimension ref="A1:Q330"/>
  <sheetViews>
    <sheetView workbookViewId="0">
      <pane xSplit="2" ySplit="1" topLeftCell="I2" activePane="bottomRight" state="frozen"/>
      <selection pane="topRight" activeCell="C1" sqref="C1"/>
      <selection pane="bottomLeft" activeCell="A2" sqref="A2"/>
      <selection pane="bottomRight" activeCell="N1" sqref="N1"/>
    </sheetView>
  </sheetViews>
  <sheetFormatPr defaultRowHeight="15.75" x14ac:dyDescent="0.25"/>
  <cols>
    <col min="1" max="1" width="36.875" style="2" bestFit="1" customWidth="1"/>
    <col min="2" max="2" width="10.125" style="2" bestFit="1" customWidth="1"/>
    <col min="3" max="3" width="10.125" style="2" customWidth="1"/>
    <col min="4" max="8" width="9.125" style="1" bestFit="1" customWidth="1"/>
    <col min="9" max="9" width="9.125" style="2" customWidth="1"/>
    <col min="10" max="10" width="9.125" style="1" bestFit="1" customWidth="1"/>
    <col min="11" max="12" width="9.125" style="1" customWidth="1"/>
    <col min="13" max="13" width="11.125" style="2" bestFit="1" customWidth="1"/>
    <col min="14" max="14" width="9" style="8"/>
    <col min="15" max="15" width="9" style="6"/>
    <col min="16" max="16" width="9" style="2"/>
    <col min="17" max="17" width="28.25" style="2" bestFit="1" customWidth="1"/>
    <col min="18" max="16384" width="9" style="2"/>
  </cols>
  <sheetData>
    <row r="1" spans="1:17" s="4" customFormat="1" ht="47.25" x14ac:dyDescent="0.25">
      <c r="A1" s="4" t="s">
        <v>57</v>
      </c>
      <c r="B1" s="4" t="s">
        <v>51</v>
      </c>
      <c r="C1" s="4" t="s">
        <v>163</v>
      </c>
      <c r="D1" s="9" t="s">
        <v>52</v>
      </c>
      <c r="E1" s="9" t="s">
        <v>53</v>
      </c>
      <c r="F1" s="9" t="s">
        <v>54</v>
      </c>
      <c r="G1" s="9" t="s">
        <v>50</v>
      </c>
      <c r="H1" s="9" t="s">
        <v>55</v>
      </c>
      <c r="I1" s="4" t="s">
        <v>143</v>
      </c>
      <c r="J1" s="9" t="s">
        <v>56</v>
      </c>
      <c r="K1" s="9" t="s">
        <v>171</v>
      </c>
      <c r="L1" s="9" t="s">
        <v>168</v>
      </c>
      <c r="M1" s="4" t="s">
        <v>137</v>
      </c>
      <c r="N1" s="7"/>
      <c r="O1" s="5"/>
      <c r="P1" s="4" t="s">
        <v>193</v>
      </c>
      <c r="Q1" s="4" t="s">
        <v>196</v>
      </c>
    </row>
    <row r="2" spans="1:17" x14ac:dyDescent="0.25">
      <c r="A2" s="2" t="s">
        <v>43</v>
      </c>
      <c r="B2" s="2">
        <v>2018</v>
      </c>
      <c r="C2" s="2">
        <v>1</v>
      </c>
      <c r="D2" s="1">
        <v>29</v>
      </c>
      <c r="E2" s="1">
        <v>20</v>
      </c>
      <c r="F2" s="1">
        <v>0.4</v>
      </c>
      <c r="G2" s="1">
        <v>14.4</v>
      </c>
      <c r="H2" s="1">
        <f t="shared" ref="H2:H4" si="0">E2+F2</f>
        <v>20.399999999999999</v>
      </c>
      <c r="I2" s="3">
        <f t="shared" ref="I2:I4" si="1">D2-H2</f>
        <v>8.6000000000000014</v>
      </c>
      <c r="J2" s="1">
        <f t="shared" ref="J2:J4" si="2">H2-G2</f>
        <v>5.9999999999999982</v>
      </c>
      <c r="K2" s="134">
        <f t="shared" ref="K2:K4" si="3">(0.0004*(B2-1999)^2)-(0.0317*(B2-1999))+1.4502</f>
        <v>0.99229999999999996</v>
      </c>
      <c r="L2" s="134">
        <f t="shared" ref="L2:L4" si="4">J2*K2</f>
        <v>5.9537999999999984</v>
      </c>
      <c r="M2" s="1">
        <f t="shared" ref="M2:M4" si="5">L2*1000000/VLOOKUP(A2,_xlnm.Database,MATCH("Capacity (MW)",Dataheads,0),FALSE)</f>
        <v>198459.99999999994</v>
      </c>
      <c r="N2" s="2"/>
      <c r="O2" s="2"/>
    </row>
    <row r="3" spans="1:17" x14ac:dyDescent="0.25">
      <c r="A3" s="2" t="s">
        <v>43</v>
      </c>
      <c r="B3" s="2">
        <v>2019</v>
      </c>
      <c r="C3" s="2">
        <v>2</v>
      </c>
      <c r="D3" s="1">
        <v>33.6</v>
      </c>
      <c r="E3" s="1">
        <v>19.2</v>
      </c>
      <c r="F3" s="1">
        <v>0.5</v>
      </c>
      <c r="G3" s="1">
        <v>14.1</v>
      </c>
      <c r="H3" s="1">
        <f t="shared" si="0"/>
        <v>19.7</v>
      </c>
      <c r="I3" s="3">
        <f t="shared" si="1"/>
        <v>13.900000000000002</v>
      </c>
      <c r="J3" s="1">
        <f t="shared" si="2"/>
        <v>5.6</v>
      </c>
      <c r="K3" s="134">
        <f t="shared" si="3"/>
        <v>0.97619999999999996</v>
      </c>
      <c r="L3" s="134">
        <f t="shared" si="4"/>
        <v>5.4667199999999996</v>
      </c>
      <c r="M3" s="1">
        <f t="shared" si="5"/>
        <v>182224</v>
      </c>
      <c r="N3" s="2"/>
      <c r="O3" s="2"/>
    </row>
    <row r="4" spans="1:17" x14ac:dyDescent="0.25">
      <c r="A4" s="2" t="s">
        <v>43</v>
      </c>
      <c r="B4" s="2">
        <v>2020</v>
      </c>
      <c r="C4" s="2">
        <v>3</v>
      </c>
      <c r="D4" s="1">
        <v>27.6</v>
      </c>
      <c r="E4" s="1">
        <v>20</v>
      </c>
      <c r="F4" s="1">
        <v>0.8</v>
      </c>
      <c r="G4" s="1">
        <v>13.2</v>
      </c>
      <c r="H4" s="1">
        <f t="shared" si="0"/>
        <v>20.8</v>
      </c>
      <c r="I4" s="3">
        <f t="shared" si="1"/>
        <v>6.8000000000000007</v>
      </c>
      <c r="J4" s="1">
        <f t="shared" si="2"/>
        <v>7.6000000000000014</v>
      </c>
      <c r="K4" s="134">
        <f t="shared" si="3"/>
        <v>0.96089999999999998</v>
      </c>
      <c r="L4" s="134">
        <f t="shared" si="4"/>
        <v>7.3028400000000016</v>
      </c>
      <c r="M4" s="1">
        <f t="shared" si="5"/>
        <v>243428.00000000006</v>
      </c>
      <c r="N4" s="2"/>
      <c r="O4" s="2"/>
    </row>
    <row r="5" spans="1:17" x14ac:dyDescent="0.25">
      <c r="I5" s="3"/>
      <c r="M5" s="3"/>
    </row>
    <row r="6" spans="1:17" x14ac:dyDescent="0.25">
      <c r="I6" s="3"/>
      <c r="M6" s="3"/>
    </row>
    <row r="7" spans="1:17" x14ac:dyDescent="0.25">
      <c r="I7" s="3"/>
      <c r="M7" s="3"/>
    </row>
    <row r="8" spans="1:17" x14ac:dyDescent="0.25">
      <c r="I8" s="3"/>
      <c r="M8" s="3"/>
    </row>
    <row r="9" spans="1:17" x14ac:dyDescent="0.25">
      <c r="I9" s="3"/>
      <c r="M9" s="3"/>
    </row>
    <row r="10" spans="1:17" x14ac:dyDescent="0.25">
      <c r="I10" s="3"/>
      <c r="M10" s="3"/>
    </row>
    <row r="11" spans="1:17" x14ac:dyDescent="0.25">
      <c r="I11" s="3"/>
      <c r="M11" s="3"/>
    </row>
    <row r="12" spans="1:17" x14ac:dyDescent="0.25">
      <c r="I12" s="3"/>
      <c r="M12" s="3"/>
    </row>
    <row r="13" spans="1:17" x14ac:dyDescent="0.25">
      <c r="I13" s="3"/>
      <c r="M13" s="3"/>
    </row>
    <row r="14" spans="1:17" x14ac:dyDescent="0.25">
      <c r="I14" s="3"/>
      <c r="M14" s="3"/>
    </row>
    <row r="15" spans="1:17" x14ac:dyDescent="0.25">
      <c r="I15" s="3"/>
      <c r="M15" s="3"/>
    </row>
    <row r="16" spans="1:17" x14ac:dyDescent="0.25">
      <c r="I16" s="3"/>
      <c r="M16" s="3"/>
    </row>
    <row r="17" spans="9:13" x14ac:dyDescent="0.25">
      <c r="I17" s="3"/>
      <c r="M17" s="3"/>
    </row>
    <row r="18" spans="9:13" x14ac:dyDescent="0.25">
      <c r="I18" s="3"/>
      <c r="M18" s="3"/>
    </row>
    <row r="19" spans="9:13" x14ac:dyDescent="0.25">
      <c r="I19" s="3"/>
      <c r="M19" s="3"/>
    </row>
    <row r="20" spans="9:13" x14ac:dyDescent="0.25">
      <c r="I20" s="3"/>
      <c r="M20" s="3"/>
    </row>
    <row r="21" spans="9:13" x14ac:dyDescent="0.25">
      <c r="I21" s="3"/>
      <c r="M21" s="3"/>
    </row>
    <row r="22" spans="9:13" x14ac:dyDescent="0.25">
      <c r="I22" s="3"/>
      <c r="M22" s="3"/>
    </row>
    <row r="23" spans="9:13" x14ac:dyDescent="0.25">
      <c r="I23" s="3"/>
      <c r="M23" s="3"/>
    </row>
    <row r="24" spans="9:13" x14ac:dyDescent="0.25">
      <c r="I24" s="3"/>
      <c r="M24" s="3"/>
    </row>
    <row r="25" spans="9:13" x14ac:dyDescent="0.25">
      <c r="I25" s="3"/>
      <c r="M25" s="3"/>
    </row>
    <row r="26" spans="9:13" x14ac:dyDescent="0.25">
      <c r="I26" s="3"/>
      <c r="M26" s="3"/>
    </row>
    <row r="27" spans="9:13" x14ac:dyDescent="0.25">
      <c r="I27" s="3"/>
      <c r="M27" s="3"/>
    </row>
    <row r="28" spans="9:13" x14ac:dyDescent="0.25">
      <c r="I28" s="3"/>
      <c r="M28" s="3"/>
    </row>
    <row r="29" spans="9:13" x14ac:dyDescent="0.25">
      <c r="I29" s="3"/>
      <c r="M29" s="3"/>
    </row>
    <row r="30" spans="9:13" x14ac:dyDescent="0.25">
      <c r="I30" s="3"/>
      <c r="M30" s="3"/>
    </row>
    <row r="31" spans="9:13" x14ac:dyDescent="0.25">
      <c r="I31" s="3"/>
      <c r="M31" s="3"/>
    </row>
    <row r="32" spans="9:13" x14ac:dyDescent="0.25">
      <c r="I32" s="3"/>
      <c r="M32" s="3"/>
    </row>
    <row r="33" spans="9:13" x14ac:dyDescent="0.25">
      <c r="I33" s="3"/>
      <c r="M33" s="3"/>
    </row>
    <row r="34" spans="9:13" x14ac:dyDescent="0.25">
      <c r="I34" s="3"/>
      <c r="M34" s="3"/>
    </row>
    <row r="35" spans="9:13" x14ac:dyDescent="0.25">
      <c r="I35" s="3"/>
      <c r="M35" s="3"/>
    </row>
    <row r="36" spans="9:13" x14ac:dyDescent="0.25">
      <c r="I36" s="3"/>
      <c r="M36" s="3"/>
    </row>
    <row r="37" spans="9:13" x14ac:dyDescent="0.25">
      <c r="I37" s="3"/>
      <c r="M37" s="3"/>
    </row>
    <row r="38" spans="9:13" x14ac:dyDescent="0.25">
      <c r="I38" s="3"/>
      <c r="M38" s="3"/>
    </row>
    <row r="39" spans="9:13" x14ac:dyDescent="0.25">
      <c r="I39" s="3"/>
      <c r="M39" s="3"/>
    </row>
    <row r="40" spans="9:13" x14ac:dyDescent="0.25">
      <c r="I40" s="3"/>
      <c r="M40" s="3"/>
    </row>
    <row r="41" spans="9:13" x14ac:dyDescent="0.25">
      <c r="I41" s="3"/>
      <c r="M41" s="3"/>
    </row>
    <row r="42" spans="9:13" x14ac:dyDescent="0.25">
      <c r="I42" s="3"/>
      <c r="M42" s="3"/>
    </row>
    <row r="43" spans="9:13" x14ac:dyDescent="0.25">
      <c r="I43" s="3"/>
      <c r="M43" s="3"/>
    </row>
    <row r="44" spans="9:13" x14ac:dyDescent="0.25">
      <c r="I44" s="3"/>
      <c r="M44" s="3"/>
    </row>
    <row r="45" spans="9:13" x14ac:dyDescent="0.25">
      <c r="I45" s="3"/>
      <c r="M45" s="3"/>
    </row>
    <row r="46" spans="9:13" x14ac:dyDescent="0.25">
      <c r="I46" s="3"/>
      <c r="M46" s="3"/>
    </row>
    <row r="47" spans="9:13" x14ac:dyDescent="0.25">
      <c r="I47" s="3"/>
      <c r="M47" s="3"/>
    </row>
    <row r="48" spans="9:13" x14ac:dyDescent="0.25">
      <c r="I48" s="3"/>
      <c r="M48" s="3"/>
    </row>
    <row r="49" spans="9:13" x14ac:dyDescent="0.25">
      <c r="I49" s="3"/>
      <c r="M49" s="3"/>
    </row>
    <row r="50" spans="9:13" x14ac:dyDescent="0.25">
      <c r="I50" s="3"/>
      <c r="M50" s="3"/>
    </row>
    <row r="51" spans="9:13" x14ac:dyDescent="0.25">
      <c r="I51" s="3"/>
      <c r="M51" s="3"/>
    </row>
    <row r="52" spans="9:13" x14ac:dyDescent="0.25">
      <c r="I52" s="3"/>
      <c r="M52" s="3"/>
    </row>
    <row r="53" spans="9:13" x14ac:dyDescent="0.25">
      <c r="I53" s="3"/>
      <c r="M53" s="3"/>
    </row>
    <row r="54" spans="9:13" x14ac:dyDescent="0.25">
      <c r="I54" s="3"/>
      <c r="M54" s="3"/>
    </row>
    <row r="55" spans="9:13" x14ac:dyDescent="0.25">
      <c r="I55" s="3"/>
      <c r="M55" s="3"/>
    </row>
    <row r="56" spans="9:13" x14ac:dyDescent="0.25">
      <c r="I56" s="3"/>
      <c r="M56" s="3"/>
    </row>
    <row r="57" spans="9:13" x14ac:dyDescent="0.25">
      <c r="I57" s="3"/>
      <c r="M57" s="3"/>
    </row>
    <row r="58" spans="9:13" x14ac:dyDescent="0.25">
      <c r="I58" s="3"/>
      <c r="M58" s="3"/>
    </row>
    <row r="59" spans="9:13" x14ac:dyDescent="0.25">
      <c r="I59" s="3"/>
      <c r="M59" s="3"/>
    </row>
    <row r="60" spans="9:13" x14ac:dyDescent="0.25">
      <c r="I60" s="3"/>
      <c r="M60" s="3"/>
    </row>
    <row r="61" spans="9:13" x14ac:dyDescent="0.25">
      <c r="I61" s="3"/>
      <c r="M61" s="3"/>
    </row>
    <row r="62" spans="9:13" x14ac:dyDescent="0.25">
      <c r="I62" s="3"/>
      <c r="M62" s="3"/>
    </row>
    <row r="63" spans="9:13" x14ac:dyDescent="0.25">
      <c r="I63" s="3"/>
      <c r="M63" s="3"/>
    </row>
    <row r="64" spans="9:13" x14ac:dyDescent="0.25">
      <c r="I64" s="3"/>
      <c r="M64" s="3"/>
    </row>
    <row r="65" spans="9:13" x14ac:dyDescent="0.25">
      <c r="I65" s="3"/>
      <c r="M65" s="3"/>
    </row>
    <row r="66" spans="9:13" x14ac:dyDescent="0.25">
      <c r="I66" s="3"/>
      <c r="M66" s="3"/>
    </row>
    <row r="67" spans="9:13" x14ac:dyDescent="0.25">
      <c r="I67" s="3"/>
      <c r="M67" s="3"/>
    </row>
    <row r="68" spans="9:13" x14ac:dyDescent="0.25">
      <c r="I68" s="3"/>
      <c r="M68" s="3"/>
    </row>
    <row r="69" spans="9:13" x14ac:dyDescent="0.25">
      <c r="I69" s="3"/>
      <c r="M69" s="3"/>
    </row>
    <row r="70" spans="9:13" x14ac:dyDescent="0.25">
      <c r="I70" s="3"/>
      <c r="M70" s="3"/>
    </row>
    <row r="71" spans="9:13" x14ac:dyDescent="0.25">
      <c r="I71" s="3"/>
      <c r="M71" s="3"/>
    </row>
    <row r="72" spans="9:13" x14ac:dyDescent="0.25">
      <c r="I72" s="3"/>
      <c r="M72" s="3"/>
    </row>
    <row r="73" spans="9:13" x14ac:dyDescent="0.25">
      <c r="I73" s="3"/>
      <c r="M73" s="3"/>
    </row>
    <row r="74" spans="9:13" x14ac:dyDescent="0.25">
      <c r="I74" s="3"/>
      <c r="M74" s="3"/>
    </row>
    <row r="75" spans="9:13" x14ac:dyDescent="0.25">
      <c r="I75" s="3"/>
      <c r="M75" s="3"/>
    </row>
    <row r="76" spans="9:13" x14ac:dyDescent="0.25">
      <c r="I76" s="3"/>
      <c r="M76" s="3"/>
    </row>
    <row r="77" spans="9:13" x14ac:dyDescent="0.25">
      <c r="I77" s="3"/>
      <c r="M77" s="3"/>
    </row>
    <row r="78" spans="9:13" x14ac:dyDescent="0.25">
      <c r="I78" s="3"/>
      <c r="M78" s="3"/>
    </row>
    <row r="79" spans="9:13" x14ac:dyDescent="0.25">
      <c r="I79" s="3"/>
      <c r="M79" s="3"/>
    </row>
    <row r="80" spans="9:13" x14ac:dyDescent="0.25">
      <c r="I80" s="3"/>
      <c r="M80" s="3"/>
    </row>
    <row r="81" spans="9:13" x14ac:dyDescent="0.25">
      <c r="I81" s="3"/>
      <c r="M81" s="3"/>
    </row>
    <row r="82" spans="9:13" x14ac:dyDescent="0.25">
      <c r="I82" s="3"/>
      <c r="M82" s="3"/>
    </row>
    <row r="83" spans="9:13" x14ac:dyDescent="0.25">
      <c r="I83" s="3"/>
      <c r="M83" s="3"/>
    </row>
    <row r="84" spans="9:13" x14ac:dyDescent="0.25">
      <c r="I84" s="3"/>
      <c r="M84" s="3"/>
    </row>
    <row r="85" spans="9:13" x14ac:dyDescent="0.25">
      <c r="I85" s="3"/>
      <c r="M85" s="3"/>
    </row>
    <row r="86" spans="9:13" x14ac:dyDescent="0.25">
      <c r="I86" s="3"/>
      <c r="M86" s="3"/>
    </row>
    <row r="87" spans="9:13" x14ac:dyDescent="0.25">
      <c r="I87" s="3"/>
      <c r="M87" s="3"/>
    </row>
    <row r="88" spans="9:13" x14ac:dyDescent="0.25">
      <c r="I88" s="3"/>
      <c r="M88" s="3"/>
    </row>
    <row r="89" spans="9:13" x14ac:dyDescent="0.25">
      <c r="I89" s="3"/>
      <c r="M89" s="3"/>
    </row>
    <row r="90" spans="9:13" x14ac:dyDescent="0.25">
      <c r="I90" s="3"/>
      <c r="M90" s="3"/>
    </row>
    <row r="91" spans="9:13" x14ac:dyDescent="0.25">
      <c r="I91" s="3"/>
      <c r="M91" s="3"/>
    </row>
    <row r="92" spans="9:13" x14ac:dyDescent="0.25">
      <c r="I92" s="3"/>
      <c r="M92" s="3"/>
    </row>
    <row r="93" spans="9:13" x14ac:dyDescent="0.25">
      <c r="I93" s="3"/>
      <c r="M93" s="3"/>
    </row>
    <row r="94" spans="9:13" x14ac:dyDescent="0.25">
      <c r="I94" s="3"/>
      <c r="M94" s="3"/>
    </row>
    <row r="95" spans="9:13" x14ac:dyDescent="0.25">
      <c r="I95" s="3"/>
      <c r="M95" s="3"/>
    </row>
    <row r="96" spans="9:13" x14ac:dyDescent="0.25">
      <c r="I96" s="3"/>
      <c r="M96" s="3"/>
    </row>
    <row r="97" spans="9:13" x14ac:dyDescent="0.25">
      <c r="I97" s="3"/>
      <c r="M97" s="3"/>
    </row>
    <row r="98" spans="9:13" x14ac:dyDescent="0.25">
      <c r="I98" s="3"/>
      <c r="M98" s="3"/>
    </row>
    <row r="99" spans="9:13" x14ac:dyDescent="0.25">
      <c r="I99" s="3"/>
      <c r="M99" s="3"/>
    </row>
    <row r="100" spans="9:13" x14ac:dyDescent="0.25">
      <c r="I100" s="3"/>
      <c r="M100" s="3"/>
    </row>
    <row r="101" spans="9:13" x14ac:dyDescent="0.25">
      <c r="I101" s="3"/>
      <c r="M101" s="3"/>
    </row>
    <row r="102" spans="9:13" x14ac:dyDescent="0.25">
      <c r="I102" s="3"/>
      <c r="M102" s="3"/>
    </row>
    <row r="103" spans="9:13" x14ac:dyDescent="0.25">
      <c r="I103" s="3"/>
      <c r="M103" s="3"/>
    </row>
    <row r="104" spans="9:13" x14ac:dyDescent="0.25">
      <c r="I104" s="3"/>
      <c r="M104" s="3"/>
    </row>
    <row r="105" spans="9:13" x14ac:dyDescent="0.25">
      <c r="I105" s="3"/>
      <c r="M105" s="3"/>
    </row>
    <row r="106" spans="9:13" x14ac:dyDescent="0.25">
      <c r="I106" s="3"/>
      <c r="M106" s="3"/>
    </row>
    <row r="107" spans="9:13" x14ac:dyDescent="0.25">
      <c r="I107" s="3"/>
      <c r="M107" s="3"/>
    </row>
    <row r="108" spans="9:13" x14ac:dyDescent="0.25">
      <c r="I108" s="3"/>
      <c r="M108" s="3"/>
    </row>
    <row r="109" spans="9:13" x14ac:dyDescent="0.25">
      <c r="I109" s="3"/>
      <c r="M109" s="3"/>
    </row>
    <row r="110" spans="9:13" x14ac:dyDescent="0.25">
      <c r="I110" s="3"/>
      <c r="M110" s="3"/>
    </row>
    <row r="111" spans="9:13" x14ac:dyDescent="0.25">
      <c r="I111" s="3"/>
      <c r="M111" s="3"/>
    </row>
    <row r="112" spans="9:13" x14ac:dyDescent="0.25">
      <c r="I112" s="3"/>
      <c r="M112" s="3"/>
    </row>
    <row r="113" spans="9:13" x14ac:dyDescent="0.25">
      <c r="I113" s="3"/>
      <c r="M113" s="3"/>
    </row>
    <row r="114" spans="9:13" x14ac:dyDescent="0.25">
      <c r="I114" s="3"/>
      <c r="M114" s="3"/>
    </row>
    <row r="115" spans="9:13" x14ac:dyDescent="0.25">
      <c r="I115" s="3"/>
      <c r="M115" s="3"/>
    </row>
    <row r="116" spans="9:13" x14ac:dyDescent="0.25">
      <c r="I116" s="3"/>
      <c r="M116" s="3"/>
    </row>
    <row r="117" spans="9:13" x14ac:dyDescent="0.25">
      <c r="I117" s="3"/>
      <c r="M117" s="3"/>
    </row>
    <row r="118" spans="9:13" x14ac:dyDescent="0.25">
      <c r="I118" s="3"/>
      <c r="M118" s="3"/>
    </row>
    <row r="119" spans="9:13" x14ac:dyDescent="0.25">
      <c r="I119" s="3"/>
      <c r="M119" s="3"/>
    </row>
    <row r="120" spans="9:13" x14ac:dyDescent="0.25">
      <c r="I120" s="3"/>
      <c r="M120" s="3"/>
    </row>
    <row r="121" spans="9:13" x14ac:dyDescent="0.25">
      <c r="I121" s="3"/>
      <c r="M121" s="3"/>
    </row>
    <row r="122" spans="9:13" x14ac:dyDescent="0.25">
      <c r="I122" s="3"/>
      <c r="M122" s="3"/>
    </row>
    <row r="123" spans="9:13" x14ac:dyDescent="0.25">
      <c r="I123" s="3"/>
      <c r="M123" s="3"/>
    </row>
    <row r="124" spans="9:13" x14ac:dyDescent="0.25">
      <c r="I124" s="3"/>
      <c r="M124" s="3"/>
    </row>
    <row r="125" spans="9:13" x14ac:dyDescent="0.25">
      <c r="I125" s="3"/>
      <c r="M125" s="3"/>
    </row>
    <row r="126" spans="9:13" x14ac:dyDescent="0.25">
      <c r="I126" s="3"/>
      <c r="M126" s="3"/>
    </row>
    <row r="127" spans="9:13" x14ac:dyDescent="0.25">
      <c r="I127" s="3"/>
      <c r="M127" s="3"/>
    </row>
    <row r="128" spans="9:13" x14ac:dyDescent="0.25">
      <c r="I128" s="3"/>
      <c r="M128" s="3"/>
    </row>
    <row r="129" spans="9:13" x14ac:dyDescent="0.25">
      <c r="I129" s="3"/>
      <c r="M129" s="3"/>
    </row>
    <row r="130" spans="9:13" x14ac:dyDescent="0.25">
      <c r="I130" s="3"/>
      <c r="M130" s="3"/>
    </row>
    <row r="131" spans="9:13" x14ac:dyDescent="0.25">
      <c r="I131" s="3"/>
      <c r="M131" s="3"/>
    </row>
    <row r="132" spans="9:13" x14ac:dyDescent="0.25">
      <c r="I132" s="3"/>
      <c r="M132" s="3"/>
    </row>
    <row r="133" spans="9:13" x14ac:dyDescent="0.25">
      <c r="I133" s="3"/>
      <c r="M133" s="3"/>
    </row>
    <row r="134" spans="9:13" x14ac:dyDescent="0.25">
      <c r="I134" s="3"/>
      <c r="M134" s="3"/>
    </row>
    <row r="135" spans="9:13" x14ac:dyDescent="0.25">
      <c r="I135" s="3"/>
      <c r="M135" s="3"/>
    </row>
    <row r="136" spans="9:13" x14ac:dyDescent="0.25">
      <c r="I136" s="3"/>
      <c r="M136" s="3"/>
    </row>
    <row r="137" spans="9:13" x14ac:dyDescent="0.25">
      <c r="I137" s="3"/>
      <c r="M137" s="3"/>
    </row>
    <row r="138" spans="9:13" x14ac:dyDescent="0.25">
      <c r="I138" s="3"/>
      <c r="M138" s="3"/>
    </row>
    <row r="139" spans="9:13" x14ac:dyDescent="0.25">
      <c r="I139" s="3"/>
      <c r="M139" s="3"/>
    </row>
    <row r="140" spans="9:13" x14ac:dyDescent="0.25">
      <c r="I140" s="3"/>
      <c r="M140" s="3"/>
    </row>
    <row r="141" spans="9:13" x14ac:dyDescent="0.25">
      <c r="I141" s="3"/>
      <c r="M141" s="3"/>
    </row>
    <row r="142" spans="9:13" x14ac:dyDescent="0.25">
      <c r="I142" s="3"/>
      <c r="M142" s="3"/>
    </row>
    <row r="143" spans="9:13" x14ac:dyDescent="0.25">
      <c r="I143" s="3"/>
      <c r="M143" s="3"/>
    </row>
    <row r="144" spans="9:13" x14ac:dyDescent="0.25">
      <c r="I144" s="3"/>
      <c r="M144" s="3"/>
    </row>
    <row r="145" spans="9:13" x14ac:dyDescent="0.25">
      <c r="I145" s="3"/>
      <c r="M145" s="3"/>
    </row>
    <row r="146" spans="9:13" x14ac:dyDescent="0.25">
      <c r="I146" s="3"/>
      <c r="M146" s="3"/>
    </row>
    <row r="147" spans="9:13" x14ac:dyDescent="0.25">
      <c r="I147" s="3"/>
      <c r="M147" s="3"/>
    </row>
    <row r="148" spans="9:13" x14ac:dyDescent="0.25">
      <c r="I148" s="3"/>
      <c r="M148" s="3"/>
    </row>
    <row r="149" spans="9:13" x14ac:dyDescent="0.25">
      <c r="I149" s="3"/>
      <c r="M149" s="3"/>
    </row>
    <row r="150" spans="9:13" x14ac:dyDescent="0.25">
      <c r="I150" s="3"/>
      <c r="M150" s="3"/>
    </row>
    <row r="151" spans="9:13" x14ac:dyDescent="0.25">
      <c r="I151" s="3"/>
      <c r="M151" s="3"/>
    </row>
    <row r="152" spans="9:13" x14ac:dyDescent="0.25">
      <c r="I152" s="3"/>
      <c r="M152" s="3"/>
    </row>
    <row r="153" spans="9:13" x14ac:dyDescent="0.25">
      <c r="I153" s="3"/>
      <c r="M153" s="3"/>
    </row>
    <row r="154" spans="9:13" x14ac:dyDescent="0.25">
      <c r="I154" s="3"/>
      <c r="M154" s="3"/>
    </row>
    <row r="155" spans="9:13" x14ac:dyDescent="0.25">
      <c r="I155" s="3"/>
      <c r="M155" s="3"/>
    </row>
    <row r="156" spans="9:13" x14ac:dyDescent="0.25">
      <c r="I156" s="3"/>
      <c r="M156" s="3"/>
    </row>
    <row r="157" spans="9:13" x14ac:dyDescent="0.25">
      <c r="I157" s="3"/>
      <c r="M157" s="3"/>
    </row>
    <row r="158" spans="9:13" x14ac:dyDescent="0.25">
      <c r="I158" s="3"/>
      <c r="M158" s="3"/>
    </row>
    <row r="159" spans="9:13" x14ac:dyDescent="0.25">
      <c r="I159" s="3"/>
      <c r="M159" s="3"/>
    </row>
    <row r="160" spans="9:13" x14ac:dyDescent="0.25">
      <c r="I160" s="3"/>
      <c r="M160" s="3"/>
    </row>
    <row r="161" spans="9:13" x14ac:dyDescent="0.25">
      <c r="I161" s="3"/>
      <c r="M161" s="3"/>
    </row>
    <row r="162" spans="9:13" x14ac:dyDescent="0.25">
      <c r="I162" s="3"/>
      <c r="M162" s="3"/>
    </row>
    <row r="163" spans="9:13" x14ac:dyDescent="0.25">
      <c r="I163" s="3"/>
      <c r="M163" s="3"/>
    </row>
    <row r="164" spans="9:13" x14ac:dyDescent="0.25">
      <c r="I164" s="3"/>
      <c r="M164" s="3"/>
    </row>
    <row r="165" spans="9:13" x14ac:dyDescent="0.25">
      <c r="I165" s="3"/>
      <c r="M165" s="3"/>
    </row>
    <row r="166" spans="9:13" x14ac:dyDescent="0.25">
      <c r="I166" s="3"/>
      <c r="M166" s="3"/>
    </row>
    <row r="167" spans="9:13" x14ac:dyDescent="0.25">
      <c r="I167" s="3"/>
      <c r="M167" s="3"/>
    </row>
    <row r="168" spans="9:13" x14ac:dyDescent="0.25">
      <c r="I168" s="3"/>
      <c r="M168" s="3"/>
    </row>
    <row r="169" spans="9:13" x14ac:dyDescent="0.25">
      <c r="I169" s="3"/>
      <c r="M169" s="3"/>
    </row>
    <row r="170" spans="9:13" x14ac:dyDescent="0.25">
      <c r="I170" s="3"/>
      <c r="M170" s="3"/>
    </row>
    <row r="171" spans="9:13" x14ac:dyDescent="0.25">
      <c r="I171" s="3"/>
      <c r="M171" s="3"/>
    </row>
    <row r="172" spans="9:13" x14ac:dyDescent="0.25">
      <c r="I172" s="3"/>
      <c r="M172" s="3"/>
    </row>
    <row r="173" spans="9:13" x14ac:dyDescent="0.25">
      <c r="I173" s="3"/>
      <c r="M173" s="3"/>
    </row>
    <row r="174" spans="9:13" x14ac:dyDescent="0.25">
      <c r="I174" s="3"/>
      <c r="M174" s="3"/>
    </row>
    <row r="175" spans="9:13" x14ac:dyDescent="0.25">
      <c r="I175" s="3"/>
      <c r="M175" s="3"/>
    </row>
    <row r="176" spans="9:13" x14ac:dyDescent="0.25">
      <c r="I176" s="3"/>
      <c r="M176" s="3"/>
    </row>
    <row r="177" spans="9:13" x14ac:dyDescent="0.25">
      <c r="I177" s="3"/>
      <c r="M177" s="3"/>
    </row>
    <row r="178" spans="9:13" x14ac:dyDescent="0.25">
      <c r="I178" s="3"/>
      <c r="M178" s="3"/>
    </row>
    <row r="179" spans="9:13" x14ac:dyDescent="0.25">
      <c r="I179" s="3"/>
      <c r="M179" s="3"/>
    </row>
    <row r="180" spans="9:13" x14ac:dyDescent="0.25">
      <c r="I180" s="3"/>
      <c r="M180" s="3"/>
    </row>
    <row r="181" spans="9:13" x14ac:dyDescent="0.25">
      <c r="I181" s="3"/>
      <c r="M181" s="3"/>
    </row>
    <row r="182" spans="9:13" x14ac:dyDescent="0.25">
      <c r="I182" s="3"/>
      <c r="M182" s="3"/>
    </row>
    <row r="183" spans="9:13" x14ac:dyDescent="0.25">
      <c r="I183" s="3"/>
      <c r="M183" s="3"/>
    </row>
    <row r="184" spans="9:13" x14ac:dyDescent="0.25">
      <c r="I184" s="3"/>
      <c r="M184" s="3"/>
    </row>
    <row r="185" spans="9:13" x14ac:dyDescent="0.25">
      <c r="I185" s="3"/>
      <c r="M185" s="3"/>
    </row>
    <row r="186" spans="9:13" x14ac:dyDescent="0.25">
      <c r="I186" s="3"/>
      <c r="M186" s="3"/>
    </row>
    <row r="187" spans="9:13" x14ac:dyDescent="0.25">
      <c r="I187" s="3"/>
      <c r="M187" s="3"/>
    </row>
    <row r="188" spans="9:13" x14ac:dyDescent="0.25">
      <c r="I188" s="3"/>
      <c r="M188" s="3"/>
    </row>
    <row r="189" spans="9:13" x14ac:dyDescent="0.25">
      <c r="I189" s="3"/>
      <c r="M189" s="3"/>
    </row>
    <row r="190" spans="9:13" x14ac:dyDescent="0.25">
      <c r="I190" s="3"/>
      <c r="M190" s="3"/>
    </row>
    <row r="191" spans="9:13" x14ac:dyDescent="0.25">
      <c r="I191" s="3"/>
      <c r="M191" s="3"/>
    </row>
    <row r="192" spans="9:13" x14ac:dyDescent="0.25">
      <c r="I192" s="3"/>
      <c r="M192" s="3"/>
    </row>
    <row r="193" spans="9:13" x14ac:dyDescent="0.25">
      <c r="I193" s="3"/>
      <c r="M193" s="3"/>
    </row>
    <row r="194" spans="9:13" x14ac:dyDescent="0.25">
      <c r="I194" s="3"/>
      <c r="M194" s="3"/>
    </row>
    <row r="195" spans="9:13" x14ac:dyDescent="0.25">
      <c r="I195" s="3"/>
      <c r="M195" s="3"/>
    </row>
    <row r="196" spans="9:13" x14ac:dyDescent="0.25">
      <c r="I196" s="3"/>
      <c r="M196" s="3"/>
    </row>
    <row r="197" spans="9:13" x14ac:dyDescent="0.25">
      <c r="I197" s="3"/>
      <c r="M197" s="3"/>
    </row>
    <row r="198" spans="9:13" x14ac:dyDescent="0.25">
      <c r="I198" s="3"/>
      <c r="M198" s="3"/>
    </row>
    <row r="199" spans="9:13" x14ac:dyDescent="0.25">
      <c r="I199" s="3"/>
      <c r="M199" s="3"/>
    </row>
    <row r="200" spans="9:13" x14ac:dyDescent="0.25">
      <c r="I200" s="3"/>
      <c r="M200" s="3"/>
    </row>
    <row r="201" spans="9:13" x14ac:dyDescent="0.25">
      <c r="I201" s="3"/>
      <c r="M201" s="3"/>
    </row>
    <row r="202" spans="9:13" x14ac:dyDescent="0.25">
      <c r="I202" s="3"/>
      <c r="M202" s="3"/>
    </row>
    <row r="203" spans="9:13" x14ac:dyDescent="0.25">
      <c r="I203" s="3"/>
      <c r="M203" s="3"/>
    </row>
    <row r="204" spans="9:13" x14ac:dyDescent="0.25">
      <c r="I204" s="3"/>
      <c r="M204" s="3"/>
    </row>
    <row r="205" spans="9:13" x14ac:dyDescent="0.25">
      <c r="I205" s="3"/>
      <c r="M205" s="3"/>
    </row>
    <row r="206" spans="9:13" x14ac:dyDescent="0.25">
      <c r="I206" s="3"/>
      <c r="M206" s="3"/>
    </row>
    <row r="207" spans="9:13" x14ac:dyDescent="0.25">
      <c r="I207" s="3"/>
      <c r="M207" s="3"/>
    </row>
    <row r="208" spans="9:13" x14ac:dyDescent="0.25">
      <c r="I208" s="3"/>
      <c r="M208" s="3"/>
    </row>
    <row r="209" spans="9:13" x14ac:dyDescent="0.25">
      <c r="I209" s="3"/>
      <c r="M209" s="3"/>
    </row>
    <row r="210" spans="9:13" x14ac:dyDescent="0.25">
      <c r="I210" s="3"/>
      <c r="M210" s="3"/>
    </row>
    <row r="211" spans="9:13" x14ac:dyDescent="0.25">
      <c r="I211" s="3"/>
      <c r="M211" s="3"/>
    </row>
    <row r="212" spans="9:13" x14ac:dyDescent="0.25">
      <c r="I212" s="3"/>
      <c r="M212" s="3"/>
    </row>
    <row r="213" spans="9:13" x14ac:dyDescent="0.25">
      <c r="I213" s="3"/>
      <c r="M213" s="3"/>
    </row>
    <row r="214" spans="9:13" x14ac:dyDescent="0.25">
      <c r="I214" s="3"/>
      <c r="M214" s="3"/>
    </row>
    <row r="215" spans="9:13" x14ac:dyDescent="0.25">
      <c r="I215" s="3"/>
      <c r="M215" s="3"/>
    </row>
    <row r="216" spans="9:13" x14ac:dyDescent="0.25">
      <c r="I216" s="3"/>
      <c r="M216" s="3"/>
    </row>
    <row r="217" spans="9:13" x14ac:dyDescent="0.25">
      <c r="I217" s="3"/>
      <c r="M217" s="3"/>
    </row>
    <row r="218" spans="9:13" x14ac:dyDescent="0.25">
      <c r="I218" s="3"/>
      <c r="M218" s="3"/>
    </row>
    <row r="219" spans="9:13" x14ac:dyDescent="0.25">
      <c r="I219" s="3"/>
      <c r="M219" s="3"/>
    </row>
    <row r="220" spans="9:13" x14ac:dyDescent="0.25">
      <c r="I220" s="3"/>
      <c r="M220" s="3"/>
    </row>
    <row r="221" spans="9:13" x14ac:dyDescent="0.25">
      <c r="I221" s="3"/>
      <c r="M221" s="3"/>
    </row>
    <row r="222" spans="9:13" x14ac:dyDescent="0.25">
      <c r="I222" s="3"/>
      <c r="M222" s="3"/>
    </row>
    <row r="223" spans="9:13" x14ac:dyDescent="0.25">
      <c r="I223" s="3"/>
      <c r="M223" s="3"/>
    </row>
    <row r="224" spans="9:13" x14ac:dyDescent="0.25">
      <c r="I224" s="3"/>
      <c r="M224" s="3"/>
    </row>
    <row r="225" spans="9:13" x14ac:dyDescent="0.25">
      <c r="I225" s="3"/>
      <c r="M225" s="3"/>
    </row>
    <row r="226" spans="9:13" x14ac:dyDescent="0.25">
      <c r="I226" s="3"/>
      <c r="M226" s="3"/>
    </row>
    <row r="227" spans="9:13" x14ac:dyDescent="0.25">
      <c r="I227" s="3"/>
      <c r="M227" s="3"/>
    </row>
    <row r="228" spans="9:13" x14ac:dyDescent="0.25">
      <c r="I228" s="3"/>
      <c r="M228" s="3"/>
    </row>
    <row r="229" spans="9:13" x14ac:dyDescent="0.25">
      <c r="I229" s="3"/>
      <c r="M229" s="3"/>
    </row>
    <row r="230" spans="9:13" x14ac:dyDescent="0.25">
      <c r="I230" s="3"/>
      <c r="M230" s="3"/>
    </row>
    <row r="231" spans="9:13" x14ac:dyDescent="0.25">
      <c r="I231" s="3"/>
      <c r="M231" s="3"/>
    </row>
    <row r="232" spans="9:13" x14ac:dyDescent="0.25">
      <c r="I232" s="3"/>
      <c r="M232" s="3"/>
    </row>
    <row r="233" spans="9:13" x14ac:dyDescent="0.25">
      <c r="I233" s="3"/>
      <c r="M233" s="3"/>
    </row>
    <row r="234" spans="9:13" x14ac:dyDescent="0.25">
      <c r="I234" s="3"/>
      <c r="M234" s="3"/>
    </row>
    <row r="235" spans="9:13" x14ac:dyDescent="0.25">
      <c r="I235" s="3"/>
      <c r="M235" s="3"/>
    </row>
    <row r="236" spans="9:13" x14ac:dyDescent="0.25">
      <c r="I236" s="3"/>
      <c r="M236" s="3"/>
    </row>
    <row r="237" spans="9:13" x14ac:dyDescent="0.25">
      <c r="I237" s="3"/>
      <c r="M237" s="3"/>
    </row>
    <row r="238" spans="9:13" x14ac:dyDescent="0.25">
      <c r="I238" s="3"/>
      <c r="M238" s="3"/>
    </row>
    <row r="239" spans="9:13" x14ac:dyDescent="0.25">
      <c r="I239" s="3"/>
      <c r="M239" s="3"/>
    </row>
    <row r="240" spans="9:13" x14ac:dyDescent="0.25">
      <c r="I240" s="3"/>
      <c r="M240" s="3"/>
    </row>
    <row r="241" spans="9:13" x14ac:dyDescent="0.25">
      <c r="I241" s="3"/>
      <c r="M241" s="3"/>
    </row>
    <row r="242" spans="9:13" x14ac:dyDescent="0.25">
      <c r="I242" s="3"/>
      <c r="M242" s="3"/>
    </row>
    <row r="243" spans="9:13" x14ac:dyDescent="0.25">
      <c r="I243" s="3"/>
      <c r="M243" s="3"/>
    </row>
    <row r="244" spans="9:13" x14ac:dyDescent="0.25">
      <c r="I244" s="3"/>
      <c r="M244" s="3"/>
    </row>
    <row r="245" spans="9:13" x14ac:dyDescent="0.25">
      <c r="I245" s="3"/>
      <c r="M245" s="3"/>
    </row>
    <row r="246" spans="9:13" x14ac:dyDescent="0.25">
      <c r="I246" s="3"/>
      <c r="M246" s="3"/>
    </row>
    <row r="247" spans="9:13" x14ac:dyDescent="0.25">
      <c r="I247" s="3"/>
      <c r="M247" s="3"/>
    </row>
    <row r="248" spans="9:13" x14ac:dyDescent="0.25">
      <c r="I248" s="3"/>
      <c r="M248" s="3"/>
    </row>
    <row r="249" spans="9:13" x14ac:dyDescent="0.25">
      <c r="I249" s="3"/>
      <c r="M249" s="3"/>
    </row>
    <row r="250" spans="9:13" x14ac:dyDescent="0.25">
      <c r="I250" s="3"/>
      <c r="M250" s="3"/>
    </row>
    <row r="251" spans="9:13" x14ac:dyDescent="0.25">
      <c r="I251" s="3"/>
      <c r="M251" s="3"/>
    </row>
    <row r="252" spans="9:13" x14ac:dyDescent="0.25">
      <c r="I252" s="3"/>
      <c r="M252" s="3"/>
    </row>
    <row r="253" spans="9:13" x14ac:dyDescent="0.25">
      <c r="I253" s="3"/>
      <c r="M253" s="3"/>
    </row>
    <row r="254" spans="9:13" x14ac:dyDescent="0.25">
      <c r="I254" s="3"/>
      <c r="M254" s="3"/>
    </row>
    <row r="255" spans="9:13" x14ac:dyDescent="0.25">
      <c r="I255" s="3"/>
      <c r="M255" s="3"/>
    </row>
    <row r="256" spans="9:13" x14ac:dyDescent="0.25">
      <c r="I256" s="3"/>
      <c r="M256" s="3"/>
    </row>
    <row r="257" spans="9:13" x14ac:dyDescent="0.25">
      <c r="I257" s="3"/>
      <c r="M257" s="3"/>
    </row>
    <row r="258" spans="9:13" x14ac:dyDescent="0.25">
      <c r="I258" s="3"/>
      <c r="M258" s="3"/>
    </row>
    <row r="259" spans="9:13" x14ac:dyDescent="0.25">
      <c r="I259" s="3"/>
      <c r="M259" s="3"/>
    </row>
    <row r="260" spans="9:13" x14ac:dyDescent="0.25">
      <c r="I260" s="3"/>
      <c r="M260" s="3"/>
    </row>
    <row r="261" spans="9:13" x14ac:dyDescent="0.25">
      <c r="I261" s="3"/>
      <c r="M261" s="3"/>
    </row>
    <row r="262" spans="9:13" x14ac:dyDescent="0.25">
      <c r="I262" s="3"/>
      <c r="M262" s="3"/>
    </row>
    <row r="263" spans="9:13" x14ac:dyDescent="0.25">
      <c r="I263" s="3"/>
      <c r="M263" s="3"/>
    </row>
    <row r="264" spans="9:13" x14ac:dyDescent="0.25">
      <c r="I264" s="3"/>
      <c r="M264" s="3"/>
    </row>
    <row r="265" spans="9:13" x14ac:dyDescent="0.25">
      <c r="I265" s="3"/>
      <c r="M265" s="3"/>
    </row>
    <row r="266" spans="9:13" x14ac:dyDescent="0.25">
      <c r="I266" s="3"/>
      <c r="M266" s="3"/>
    </row>
    <row r="267" spans="9:13" x14ac:dyDescent="0.25">
      <c r="I267" s="3"/>
      <c r="M267" s="3"/>
    </row>
    <row r="268" spans="9:13" x14ac:dyDescent="0.25">
      <c r="I268" s="3"/>
      <c r="M268" s="3"/>
    </row>
    <row r="269" spans="9:13" x14ac:dyDescent="0.25">
      <c r="I269" s="3"/>
      <c r="M269" s="3"/>
    </row>
    <row r="270" spans="9:13" x14ac:dyDescent="0.25">
      <c r="I270" s="3"/>
      <c r="M270" s="3"/>
    </row>
    <row r="271" spans="9:13" x14ac:dyDescent="0.25">
      <c r="I271" s="3"/>
      <c r="M271" s="3"/>
    </row>
    <row r="272" spans="9:13" x14ac:dyDescent="0.25">
      <c r="I272" s="3"/>
      <c r="M272" s="3"/>
    </row>
    <row r="273" spans="9:13" x14ac:dyDescent="0.25">
      <c r="I273" s="3"/>
      <c r="M273" s="3"/>
    </row>
    <row r="274" spans="9:13" x14ac:dyDescent="0.25">
      <c r="I274" s="3"/>
      <c r="M274" s="3"/>
    </row>
    <row r="275" spans="9:13" x14ac:dyDescent="0.25">
      <c r="I275" s="3"/>
      <c r="M275" s="3"/>
    </row>
    <row r="276" spans="9:13" x14ac:dyDescent="0.25">
      <c r="I276" s="3"/>
      <c r="M276" s="3"/>
    </row>
    <row r="277" spans="9:13" x14ac:dyDescent="0.25">
      <c r="I277" s="3"/>
      <c r="M277" s="3"/>
    </row>
    <row r="278" spans="9:13" x14ac:dyDescent="0.25">
      <c r="I278" s="3"/>
      <c r="M278" s="3"/>
    </row>
    <row r="279" spans="9:13" x14ac:dyDescent="0.25">
      <c r="I279" s="3"/>
      <c r="M279" s="3"/>
    </row>
    <row r="280" spans="9:13" x14ac:dyDescent="0.25">
      <c r="I280" s="3"/>
      <c r="M280" s="3"/>
    </row>
    <row r="281" spans="9:13" x14ac:dyDescent="0.25">
      <c r="I281" s="3"/>
      <c r="M281" s="3"/>
    </row>
    <row r="282" spans="9:13" x14ac:dyDescent="0.25">
      <c r="I282" s="3"/>
      <c r="M282" s="3"/>
    </row>
    <row r="283" spans="9:13" x14ac:dyDescent="0.25">
      <c r="I283" s="3"/>
      <c r="M283" s="3"/>
    </row>
    <row r="284" spans="9:13" x14ac:dyDescent="0.25">
      <c r="I284" s="3"/>
      <c r="M284" s="3"/>
    </row>
    <row r="285" spans="9:13" x14ac:dyDescent="0.25">
      <c r="I285" s="3"/>
      <c r="M285" s="3"/>
    </row>
    <row r="286" spans="9:13" x14ac:dyDescent="0.25">
      <c r="I286" s="3"/>
      <c r="M286" s="3"/>
    </row>
    <row r="287" spans="9:13" x14ac:dyDescent="0.25">
      <c r="I287" s="3"/>
      <c r="M287" s="3"/>
    </row>
    <row r="288" spans="9:13" x14ac:dyDescent="0.25">
      <c r="I288" s="3"/>
      <c r="M288" s="3"/>
    </row>
    <row r="289" spans="9:13" x14ac:dyDescent="0.25">
      <c r="I289" s="3"/>
      <c r="M289" s="3"/>
    </row>
    <row r="290" spans="9:13" x14ac:dyDescent="0.25">
      <c r="I290" s="3"/>
      <c r="M290" s="3"/>
    </row>
    <row r="291" spans="9:13" x14ac:dyDescent="0.25">
      <c r="I291" s="3"/>
      <c r="M291" s="3"/>
    </row>
    <row r="292" spans="9:13" x14ac:dyDescent="0.25">
      <c r="I292" s="3"/>
      <c r="M292" s="3"/>
    </row>
    <row r="293" spans="9:13" x14ac:dyDescent="0.25">
      <c r="I293" s="3"/>
      <c r="M293" s="3"/>
    </row>
    <row r="294" spans="9:13" x14ac:dyDescent="0.25">
      <c r="I294" s="3"/>
      <c r="M294" s="3"/>
    </row>
    <row r="295" spans="9:13" x14ac:dyDescent="0.25">
      <c r="I295" s="3"/>
      <c r="M295" s="3"/>
    </row>
    <row r="296" spans="9:13" x14ac:dyDescent="0.25">
      <c r="I296" s="3"/>
      <c r="M296" s="3"/>
    </row>
    <row r="297" spans="9:13" x14ac:dyDescent="0.25">
      <c r="I297" s="3"/>
      <c r="M297" s="3"/>
    </row>
    <row r="298" spans="9:13" x14ac:dyDescent="0.25">
      <c r="I298" s="3"/>
      <c r="M298" s="3"/>
    </row>
    <row r="299" spans="9:13" x14ac:dyDescent="0.25">
      <c r="I299" s="3"/>
      <c r="M299" s="3"/>
    </row>
    <row r="300" spans="9:13" x14ac:dyDescent="0.25">
      <c r="I300" s="3"/>
      <c r="M300" s="3"/>
    </row>
    <row r="301" spans="9:13" x14ac:dyDescent="0.25">
      <c r="I301" s="3"/>
      <c r="M301" s="3"/>
    </row>
    <row r="302" spans="9:13" x14ac:dyDescent="0.25">
      <c r="I302" s="3"/>
      <c r="M302" s="3"/>
    </row>
    <row r="303" spans="9:13" x14ac:dyDescent="0.25">
      <c r="I303" s="3"/>
      <c r="M303" s="3"/>
    </row>
    <row r="304" spans="9:13" x14ac:dyDescent="0.25">
      <c r="I304" s="3"/>
      <c r="M304" s="3"/>
    </row>
    <row r="305" spans="9:13" x14ac:dyDescent="0.25">
      <c r="I305" s="3"/>
      <c r="M305" s="3"/>
    </row>
    <row r="306" spans="9:13" x14ac:dyDescent="0.25">
      <c r="I306" s="3"/>
      <c r="M306" s="3"/>
    </row>
    <row r="307" spans="9:13" x14ac:dyDescent="0.25">
      <c r="I307" s="3"/>
      <c r="M307" s="3"/>
    </row>
    <row r="308" spans="9:13" x14ac:dyDescent="0.25">
      <c r="I308" s="3"/>
      <c r="M308" s="3"/>
    </row>
    <row r="309" spans="9:13" x14ac:dyDescent="0.25">
      <c r="I309" s="3"/>
      <c r="M309" s="3"/>
    </row>
    <row r="310" spans="9:13" x14ac:dyDescent="0.25">
      <c r="I310" s="3"/>
      <c r="M310" s="3"/>
    </row>
    <row r="311" spans="9:13" x14ac:dyDescent="0.25">
      <c r="I311" s="3"/>
      <c r="M311" s="3"/>
    </row>
    <row r="312" spans="9:13" x14ac:dyDescent="0.25">
      <c r="I312" s="3"/>
      <c r="M312" s="3"/>
    </row>
    <row r="313" spans="9:13" x14ac:dyDescent="0.25">
      <c r="I313" s="3"/>
      <c r="M313" s="3"/>
    </row>
    <row r="314" spans="9:13" x14ac:dyDescent="0.25">
      <c r="I314" s="3"/>
      <c r="M314" s="3"/>
    </row>
    <row r="315" spans="9:13" x14ac:dyDescent="0.25">
      <c r="I315" s="3"/>
      <c r="M315" s="3"/>
    </row>
    <row r="316" spans="9:13" x14ac:dyDescent="0.25">
      <c r="I316" s="3"/>
      <c r="M316" s="3"/>
    </row>
    <row r="317" spans="9:13" x14ac:dyDescent="0.25">
      <c r="I317" s="3"/>
      <c r="M317" s="3"/>
    </row>
    <row r="318" spans="9:13" x14ac:dyDescent="0.25">
      <c r="I318" s="3"/>
      <c r="M318" s="3"/>
    </row>
    <row r="319" spans="9:13" x14ac:dyDescent="0.25">
      <c r="I319" s="3"/>
      <c r="M319" s="3"/>
    </row>
    <row r="320" spans="9:13" x14ac:dyDescent="0.25">
      <c r="I320" s="3"/>
      <c r="M320" s="3"/>
    </row>
    <row r="321" spans="9:13" x14ac:dyDescent="0.25">
      <c r="I321" s="3"/>
      <c r="M321" s="3"/>
    </row>
    <row r="322" spans="9:13" x14ac:dyDescent="0.25">
      <c r="I322" s="3"/>
      <c r="M322" s="3"/>
    </row>
    <row r="323" spans="9:13" x14ac:dyDescent="0.25">
      <c r="I323" s="3"/>
      <c r="M323" s="3"/>
    </row>
    <row r="324" spans="9:13" x14ac:dyDescent="0.25">
      <c r="I324" s="3"/>
      <c r="M324" s="3"/>
    </row>
    <row r="325" spans="9:13" x14ac:dyDescent="0.25">
      <c r="I325" s="3"/>
      <c r="M325" s="3"/>
    </row>
    <row r="326" spans="9:13" x14ac:dyDescent="0.25">
      <c r="I326" s="3"/>
      <c r="M326" s="3"/>
    </row>
    <row r="327" spans="9:13" x14ac:dyDescent="0.25">
      <c r="I327" s="3"/>
      <c r="M327" s="3"/>
    </row>
    <row r="328" spans="9:13" x14ac:dyDescent="0.25">
      <c r="I328" s="3"/>
      <c r="M328" s="3"/>
    </row>
    <row r="329" spans="9:13" x14ac:dyDescent="0.25">
      <c r="I329" s="3"/>
      <c r="M329" s="3"/>
    </row>
    <row r="330" spans="9:13" x14ac:dyDescent="0.25">
      <c r="I330" s="3"/>
      <c r="M330" s="3"/>
    </row>
  </sheetData>
  <autoFilter ref="A1:M4" xr:uid="{86A08063-0836-4587-8AEF-C245D626D9C6}">
    <sortState xmlns:xlrd2="http://schemas.microsoft.com/office/spreadsheetml/2017/richdata2" ref="A2:M4">
      <sortCondition ref="A2:A4"/>
      <sortCondition ref="B2:B4"/>
    </sortState>
  </autoFilter>
  <sortState xmlns:xlrd2="http://schemas.microsoft.com/office/spreadsheetml/2017/richdata2" ref="A2:O4">
    <sortCondition ref="A2:A4"/>
    <sortCondition ref="B2:B4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165DEF3-5D87-4ADD-8405-AB6097D3E145}">
  <ds:schemaRefs/>
</ds:datastoreItem>
</file>

<file path=customXml/itemProps2.xml><?xml version="1.0" encoding="utf-8"?>
<ds:datastoreItem xmlns:ds="http://schemas.openxmlformats.org/officeDocument/2006/customXml" ds:itemID="{5F8C9027-C3E9-497F-902F-891C826758C2}">
  <ds:schemaRefs/>
</ds:datastoreItem>
</file>

<file path=customXml/itemProps3.xml><?xml version="1.0" encoding="utf-8"?>
<ds:datastoreItem xmlns:ds="http://schemas.openxmlformats.org/officeDocument/2006/customXml" ds:itemID="{17EE5446-4B6E-4A44-AE71-4CDFF2392F1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Database</vt:lpstr>
      <vt:lpstr>GWPF</vt:lpstr>
      <vt:lpstr>CFs</vt:lpstr>
      <vt:lpstr>Financials</vt:lpstr>
      <vt:lpstr>Actualcapex</vt:lpstr>
      <vt:lpstr>Database</vt:lpstr>
      <vt:lpstr>Dataheads</vt:lpstr>
      <vt:lpstr>Wacc</vt:lpstr>
    </vt:vector>
  </TitlesOfParts>
  <Company>Taxa Publishing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Constable</dc:creator>
  <cp:lastModifiedBy>Andrew Montford</cp:lastModifiedBy>
  <cp:lastPrinted>2021-01-11T15:41:32Z</cp:lastPrinted>
  <dcterms:created xsi:type="dcterms:W3CDTF">2017-09-22T19:39:25Z</dcterms:created>
  <dcterms:modified xsi:type="dcterms:W3CDTF">2021-07-30T11:52:48Z</dcterms:modified>
</cp:coreProperties>
</file>